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45" firstSheet="3" activeTab="7"/>
  </bookViews>
  <sheets>
    <sheet name="Założenia do obliczeń" sheetId="1" r:id="rId1"/>
    <sheet name="Wskaźniki emisji" sheetId="2" r:id="rId2"/>
    <sheet name="Efekt rzeczowy" sheetId="7" r:id="rId3"/>
    <sheet name="Efekt ekologiczny " sheetId="4" r:id="rId4"/>
    <sheet name="Efekt energetyczny" sheetId="8" r:id="rId5"/>
    <sheet name="Harmonogram rzeczowo-finansowy" sheetId="3" r:id="rId6"/>
    <sheet name="PM10" sheetId="6" r:id="rId7"/>
    <sheet name="PM2,5" sheetId="5" r:id="rId8"/>
  </sheets>
  <externalReferences>
    <externalReference r:id="rId9"/>
    <externalReference r:id="rId10"/>
    <externalReference r:id="rId11"/>
  </externalReferences>
  <definedNames>
    <definedName name="gmina">'[1]REDUKCJA emisji rocznej z gmin'!$B$2:$B$316</definedName>
    <definedName name="_xlnm.Print_Area" localSheetId="3">'Efekt ekologiczny '!$A$1:$H$29</definedName>
    <definedName name="_xlnm.Print_Area" localSheetId="4">'Efekt energetyczny'!$A$1:$J$34</definedName>
    <definedName name="_xlnm.Print_Area" localSheetId="2">'Efekt rzeczowy'!$A$1:$K$16</definedName>
    <definedName name="_xlnm.Print_Area" localSheetId="6">'PM10'!$A$1:$E$64</definedName>
    <definedName name="_xlnm.Print_Area" localSheetId="7">'PM2,5'!$A$1:$E$64</definedName>
    <definedName name="_xlnm.Print_Area" localSheetId="1">'Wskaźniki emisji'!$A$1:$E$29</definedName>
    <definedName name="_xlnm.Print_Area" localSheetId="0">'Założenia do obliczeń'!$A$1:$E$22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3" l="1"/>
  <c r="B60" i="5" l="1"/>
  <c r="C60" i="5" s="1"/>
  <c r="D60" i="5" s="1"/>
  <c r="B55" i="5"/>
  <c r="B45" i="5"/>
  <c r="C45" i="5" s="1"/>
  <c r="D45" i="5" s="1"/>
  <c r="B40" i="5"/>
  <c r="B35" i="5"/>
  <c r="B30" i="5"/>
  <c r="B25" i="5"/>
  <c r="B20" i="5"/>
  <c r="B15" i="5"/>
  <c r="B10" i="5"/>
  <c r="C10" i="5" s="1"/>
  <c r="D10" i="5" s="1"/>
  <c r="B60" i="6"/>
  <c r="B55" i="6"/>
  <c r="B45" i="6"/>
  <c r="B40" i="6"/>
  <c r="B35" i="6"/>
  <c r="B30" i="6"/>
  <c r="B25" i="6"/>
  <c r="B20" i="6"/>
  <c r="B15" i="6"/>
  <c r="B10" i="6"/>
  <c r="C55" i="5"/>
  <c r="D55" i="5" s="1"/>
  <c r="C40" i="5"/>
  <c r="D40" i="5" s="1"/>
  <c r="C35" i="5"/>
  <c r="D35" i="5" s="1"/>
  <c r="C30" i="5"/>
  <c r="D30" i="5" s="1"/>
  <c r="C25" i="5"/>
  <c r="D25" i="5" s="1"/>
  <c r="C20" i="5"/>
  <c r="D20" i="5" s="1"/>
  <c r="C15" i="5"/>
  <c r="D15" i="5" s="1"/>
  <c r="C5" i="5"/>
  <c r="C60" i="6" l="1"/>
  <c r="D60" i="6" s="1"/>
  <c r="C55" i="6"/>
  <c r="D55" i="6" s="1"/>
  <c r="C45" i="6"/>
  <c r="D45" i="6" s="1"/>
  <c r="C40" i="6"/>
  <c r="D40" i="6" s="1"/>
  <c r="C35" i="6"/>
  <c r="D35" i="6" s="1"/>
  <c r="C30" i="6"/>
  <c r="D30" i="6" s="1"/>
  <c r="C25" i="6"/>
  <c r="D25" i="6" s="1"/>
  <c r="C20" i="6"/>
  <c r="D20" i="6" s="1"/>
  <c r="C15" i="6"/>
  <c r="D15" i="6" s="1"/>
  <c r="C10" i="6"/>
  <c r="D10" i="6" s="1"/>
  <c r="C5" i="6"/>
  <c r="C17" i="1" l="1"/>
  <c r="C20" i="1" l="1"/>
  <c r="E15" i="7" l="1"/>
  <c r="F15" i="7"/>
  <c r="G15" i="7"/>
  <c r="H15" i="7"/>
  <c r="I15" i="7"/>
  <c r="D15" i="7"/>
  <c r="G4" i="3"/>
  <c r="H4" i="3"/>
  <c r="I4" i="3"/>
  <c r="J4" i="3"/>
  <c r="K4" i="3"/>
  <c r="G5" i="3"/>
  <c r="H5" i="3"/>
  <c r="I5" i="3"/>
  <c r="J5" i="3"/>
  <c r="K5" i="3"/>
  <c r="G6" i="3"/>
  <c r="H6" i="3"/>
  <c r="I6" i="3"/>
  <c r="J6" i="3"/>
  <c r="K6" i="3"/>
  <c r="G7" i="3"/>
  <c r="H7" i="3"/>
  <c r="I7" i="3"/>
  <c r="J7" i="3"/>
  <c r="K7" i="3"/>
  <c r="G8" i="3"/>
  <c r="H8" i="3"/>
  <c r="I8" i="3"/>
  <c r="J8" i="3"/>
  <c r="K8" i="3"/>
  <c r="G9" i="3"/>
  <c r="H9" i="3"/>
  <c r="I9" i="3"/>
  <c r="J9" i="3"/>
  <c r="K9" i="3"/>
  <c r="G10" i="3"/>
  <c r="H10" i="3"/>
  <c r="I10" i="3"/>
  <c r="J10" i="3"/>
  <c r="K10" i="3"/>
  <c r="G11" i="3"/>
  <c r="H11" i="3"/>
  <c r="I11" i="3"/>
  <c r="J11" i="3"/>
  <c r="K11" i="3"/>
  <c r="G12" i="3"/>
  <c r="H12" i="3"/>
  <c r="I12" i="3"/>
  <c r="J12" i="3"/>
  <c r="K12" i="3"/>
  <c r="G13" i="3"/>
  <c r="H13" i="3"/>
  <c r="I13" i="3"/>
  <c r="J13" i="3"/>
  <c r="K13" i="3"/>
  <c r="F13" i="3"/>
  <c r="F12" i="3"/>
  <c r="F11" i="3"/>
  <c r="F10" i="3"/>
  <c r="F9" i="3"/>
  <c r="F8" i="3"/>
  <c r="F7" i="3"/>
  <c r="F6" i="3"/>
  <c r="F5" i="3"/>
  <c r="F4" i="3"/>
  <c r="F3" i="3"/>
  <c r="G3" i="3"/>
  <c r="I3" i="3"/>
  <c r="J3" i="3"/>
  <c r="K3" i="3"/>
  <c r="F4" i="8"/>
  <c r="F5" i="8"/>
  <c r="F6" i="8"/>
  <c r="F7" i="8"/>
  <c r="F8" i="8"/>
  <c r="F9" i="8"/>
  <c r="F10" i="8"/>
  <c r="F11" i="8"/>
  <c r="F12" i="8"/>
  <c r="F13" i="8"/>
  <c r="F3" i="8"/>
  <c r="D13" i="8"/>
  <c r="D12" i="8"/>
  <c r="D11" i="8"/>
  <c r="D10" i="8"/>
  <c r="D9" i="8"/>
  <c r="D8" i="8"/>
  <c r="D7" i="8"/>
  <c r="D6" i="8"/>
  <c r="D5" i="8"/>
  <c r="D4" i="8"/>
  <c r="D3" i="8"/>
  <c r="D4" i="4"/>
  <c r="D5" i="4"/>
  <c r="D6" i="4"/>
  <c r="D7" i="4"/>
  <c r="D8" i="4"/>
  <c r="D9" i="4"/>
  <c r="D10" i="4"/>
  <c r="D11" i="4"/>
  <c r="D12" i="4"/>
  <c r="D13" i="4"/>
  <c r="D3" i="4"/>
  <c r="J5" i="7"/>
  <c r="J6" i="7"/>
  <c r="J7" i="7"/>
  <c r="J8" i="7"/>
  <c r="J9" i="7"/>
  <c r="J10" i="7"/>
  <c r="J11" i="7"/>
  <c r="J12" i="7"/>
  <c r="B50" i="6" s="1"/>
  <c r="J13" i="7"/>
  <c r="J14" i="7"/>
  <c r="J4" i="7"/>
  <c r="C5" i="7"/>
  <c r="C6" i="7"/>
  <c r="C7" i="7"/>
  <c r="C8" i="7"/>
  <c r="C9" i="7"/>
  <c r="C10" i="7"/>
  <c r="C11" i="7"/>
  <c r="C12" i="7"/>
  <c r="C13" i="7"/>
  <c r="C14" i="7"/>
  <c r="C4" i="7"/>
  <c r="B50" i="5" l="1"/>
  <c r="C50" i="5" s="1"/>
  <c r="D50" i="5" s="1"/>
  <c r="D61" i="5" s="1"/>
  <c r="D62" i="5" s="1"/>
  <c r="C50" i="6"/>
  <c r="D50" i="6" s="1"/>
  <c r="D61" i="6" s="1"/>
  <c r="D62" i="6" s="1"/>
  <c r="D3" i="3"/>
  <c r="D13" i="3"/>
  <c r="D9" i="3"/>
  <c r="D4" i="3"/>
  <c r="D10" i="3"/>
  <c r="D5" i="3"/>
  <c r="D12" i="3"/>
  <c r="D8" i="3"/>
  <c r="D11" i="3"/>
  <c r="D7" i="3"/>
  <c r="D6" i="3"/>
  <c r="L6" i="3"/>
  <c r="L5" i="3"/>
  <c r="K14" i="3"/>
  <c r="J14" i="3"/>
  <c r="L13" i="3"/>
  <c r="E13" i="4"/>
  <c r="E13" i="8"/>
  <c r="G13" i="8" s="1"/>
  <c r="I13" i="8" s="1"/>
  <c r="E12" i="4"/>
  <c r="E12" i="8"/>
  <c r="G12" i="8" s="1"/>
  <c r="I12" i="8" s="1"/>
  <c r="E11" i="8"/>
  <c r="G11" i="8" s="1"/>
  <c r="I11" i="8" s="1"/>
  <c r="L11" i="3"/>
  <c r="E11" i="4"/>
  <c r="G14" i="3"/>
  <c r="L10" i="3"/>
  <c r="E10" i="4"/>
  <c r="E10" i="8"/>
  <c r="G10" i="8" s="1"/>
  <c r="I10" i="8" s="1"/>
  <c r="L9" i="3"/>
  <c r="E9" i="4"/>
  <c r="G9" i="4" s="1"/>
  <c r="E9" i="8"/>
  <c r="G9" i="8" s="1"/>
  <c r="I9" i="8" s="1"/>
  <c r="L8" i="3"/>
  <c r="E8" i="4"/>
  <c r="E8" i="8"/>
  <c r="G8" i="8" s="1"/>
  <c r="I8" i="8" s="1"/>
  <c r="L7" i="3"/>
  <c r="E7" i="4"/>
  <c r="G7" i="4" s="1"/>
  <c r="E7" i="8"/>
  <c r="G7" i="8" s="1"/>
  <c r="I7" i="8" s="1"/>
  <c r="E6" i="4"/>
  <c r="G6" i="4" s="1"/>
  <c r="E6" i="8"/>
  <c r="G6" i="8" s="1"/>
  <c r="I6" i="8" s="1"/>
  <c r="E5" i="4"/>
  <c r="E5" i="8"/>
  <c r="G5" i="8" s="1"/>
  <c r="I5" i="8" s="1"/>
  <c r="L4" i="3"/>
  <c r="E4" i="4"/>
  <c r="G4" i="4" s="1"/>
  <c r="E4" i="8"/>
  <c r="G4" i="8" s="1"/>
  <c r="I4" i="8" s="1"/>
  <c r="L3" i="3"/>
  <c r="E3" i="8"/>
  <c r="J15" i="7"/>
  <c r="E3" i="4"/>
  <c r="F14" i="3"/>
  <c r="I14" i="3"/>
  <c r="H14" i="3"/>
  <c r="L12" i="3"/>
  <c r="L14" i="3" l="1"/>
  <c r="E14" i="4"/>
  <c r="E14" i="8"/>
  <c r="G3" i="8"/>
  <c r="I3" i="8" s="1"/>
  <c r="I14" i="8" s="1"/>
  <c r="D63" i="6" l="1"/>
  <c r="D63" i="5"/>
  <c r="G14" i="8"/>
  <c r="G3" i="4"/>
  <c r="F4" i="4" l="1"/>
  <c r="F6" i="4"/>
  <c r="F7" i="4"/>
  <c r="F9" i="4"/>
  <c r="F10" i="4"/>
  <c r="F12" i="4"/>
  <c r="F3" i="4"/>
  <c r="G8" i="4"/>
  <c r="G10" i="4"/>
  <c r="G11" i="4"/>
  <c r="G12" i="4"/>
  <c r="G13" i="4"/>
  <c r="D14" i="3"/>
  <c r="F8" i="4" l="1"/>
  <c r="G5" i="4"/>
  <c r="G14" i="4" s="1"/>
  <c r="F13" i="4"/>
  <c r="F11" i="4"/>
  <c r="F5" i="4"/>
  <c r="F14" i="4" l="1"/>
</calcChain>
</file>

<file path=xl/sharedStrings.xml><?xml version="1.0" encoding="utf-8"?>
<sst xmlns="http://schemas.openxmlformats.org/spreadsheetml/2006/main" count="291" uniqueCount="113">
  <si>
    <t>SUMA</t>
  </si>
  <si>
    <t>Cząstkowe maksymalne wartości wskaźnika EP na potrzeby ogrzewania, wentylacji oraz przygotowania ciepłej wody użytkowej (źródło: Rozporządzenia Ministra Infrastruktury z dnia 13 kwietnia 2002 r. w sprawie warunków technicznych, jakim powinny odpowiadać budynki i ich usytuowanie)</t>
  </si>
  <si>
    <t>L.p.</t>
  </si>
  <si>
    <t>Rodzaj budynku</t>
  </si>
  <si>
    <t>Cząstkowe maksymalne wartości wskaźnika EPH+W na potrzeby ogrzewania, wentylacji oraz przygotowania ciepłej wody użytkowej</t>
  </si>
  <si>
    <t>budynek mieszkalny</t>
  </si>
  <si>
    <t>jednorodzinny</t>
  </si>
  <si>
    <t>wielorodzinny</t>
  </si>
  <si>
    <t>budynek zamieszkania zbiorowego</t>
  </si>
  <si>
    <t>budynek użyteczności publicznej</t>
  </si>
  <si>
    <t>obiekty opieki zdrowotnej</t>
  </si>
  <si>
    <t>pozostałe</t>
  </si>
  <si>
    <t>budynek gospodarczy, magazynowy</t>
  </si>
  <si>
    <t>i produkcyjny</t>
  </si>
  <si>
    <t>m2</t>
  </si>
  <si>
    <t>MWh</t>
  </si>
  <si>
    <t>szt.</t>
  </si>
  <si>
    <t>Lp.</t>
  </si>
  <si>
    <t>Działania naprawcze</t>
  </si>
  <si>
    <t xml:space="preserve">Efekt redukcji emisji pyłu zawieszonego PM10 </t>
  </si>
  <si>
    <t>1.</t>
  </si>
  <si>
    <t>podłączenie lokalu do sieci cieplnej</t>
  </si>
  <si>
    <t>2.</t>
  </si>
  <si>
    <t>wymiana ogrzewania węglowego na elektryczne</t>
  </si>
  <si>
    <t>3.</t>
  </si>
  <si>
    <t>wymiana starych kotłów węglowych na nowe zasilane ręcznie</t>
  </si>
  <si>
    <t>4.</t>
  </si>
  <si>
    <t>wymiana starych kotłów węglowych na nowe zasilane automatycznie</t>
  </si>
  <si>
    <t>5.</t>
  </si>
  <si>
    <t>wymiana kotłów węglowych na kotły na biomasę zasilane automatycznie</t>
  </si>
  <si>
    <t>6.</t>
  </si>
  <si>
    <t>wymiana kotłów węglowych na kotły na pelety zasilane automatycznie</t>
  </si>
  <si>
    <t>7.</t>
  </si>
  <si>
    <t>wymiana ogrzewania węglowego na gazowe</t>
  </si>
  <si>
    <t>8.</t>
  </si>
  <si>
    <t>wymiana ogrzewania węglowego na olejowe</t>
  </si>
  <si>
    <t>9.</t>
  </si>
  <si>
    <t>wymiana ogrzewania węglowego na pompę ciepła</t>
  </si>
  <si>
    <t>10.</t>
  </si>
  <si>
    <t>zastosowanie kolektorów słonecznych</t>
  </si>
  <si>
    <t>11.</t>
  </si>
  <si>
    <t>termomodernizacja</t>
  </si>
  <si>
    <t xml:space="preserve">Efekt redukcji emisji pyłu zawieszonego PM2,5 </t>
  </si>
  <si>
    <t>Działanie</t>
  </si>
  <si>
    <t>Szacunkowy koszt jednej modernizacji</t>
  </si>
  <si>
    <t>Łączny koszt realizacji działania</t>
  </si>
  <si>
    <t>Podłączenie lokalu do sieci cieplnej</t>
  </si>
  <si>
    <t>Wymiana ogrzewania węglowego na elektryczne</t>
  </si>
  <si>
    <t>Wymiana starych kotłów węglowych na nowe zasilane ręcznie</t>
  </si>
  <si>
    <t>Wymiana starych kotłów węglowych na nowe zasilane automatycznie</t>
  </si>
  <si>
    <t>Wymiana kotłów węglowych na kotły na biomasę zasilane automatycznie</t>
  </si>
  <si>
    <t>Wymiana kotłów węglowych na kotły na pelety zasilane automatycznie</t>
  </si>
  <si>
    <t>Wymiana ogrzewania węglowego na gazowe</t>
  </si>
  <si>
    <t>Wymiana ogrzewania węglowego na olejowe</t>
  </si>
  <si>
    <t>Wymiana ogrzewania węglowego na pompę ciepła</t>
  </si>
  <si>
    <t>Zastosowanie kolektorów słonecznych</t>
  </si>
  <si>
    <t>Termomodernizacja</t>
  </si>
  <si>
    <t>Liczba budynków objętych działaniem</t>
  </si>
  <si>
    <t xml:space="preserve">Lp. </t>
  </si>
  <si>
    <t xml:space="preserve">Średnia powierzchnia budynku mieszkalnego </t>
  </si>
  <si>
    <t>Liczba modernizacji</t>
  </si>
  <si>
    <t xml:space="preserve">Pył zawieszony PM2,5                                       Obliczenie efektu ekologicznego  </t>
  </si>
  <si>
    <t>Minimalny efekt ekologiczny dla pyłu zawieszonego PM2,5 z gminy określony w programie ochrony powietrza</t>
  </si>
  <si>
    <t>Poniżej wybierz gminę</t>
  </si>
  <si>
    <t>Mg/rok</t>
  </si>
  <si>
    <t xml:space="preserve">DZIAŁANIE 1 </t>
  </si>
  <si>
    <t>Podłączenie do sieci cieplnej</t>
  </si>
  <si>
    <t>Poniżej wpisz łączną powierzchnię (w m2) lokali (budynków), której dotyczy działanie naprawcze</t>
  </si>
  <si>
    <t>Wielkość efektu ekologicznego działania 1</t>
  </si>
  <si>
    <t>m2/rok</t>
  </si>
  <si>
    <t>DZIAŁANIE 2</t>
  </si>
  <si>
    <t>Wielkość efektu ekologicznego działania 2</t>
  </si>
  <si>
    <t>DZIAŁANIE 3</t>
  </si>
  <si>
    <t>Wielkość efektu ekologicznego działania 3</t>
  </si>
  <si>
    <t xml:space="preserve">DZIAŁANIE 4 </t>
  </si>
  <si>
    <t>Wielkość efektu ekologicznego działania 4</t>
  </si>
  <si>
    <t xml:space="preserve">DZIAŁANIE 5 </t>
  </si>
  <si>
    <t>Wymiana kotłów węglowych na kotły opalane biomasą zasilane automatycznie</t>
  </si>
  <si>
    <t>Wielkość efektu ekologicznego działania 5</t>
  </si>
  <si>
    <t xml:space="preserve">DZIAŁANIE 6 </t>
  </si>
  <si>
    <t>Wymiana kotłów węglowych na kotły opalane peletami zasilane automatycznie</t>
  </si>
  <si>
    <t>Wielkość efektu ekologicznego działania 6</t>
  </si>
  <si>
    <t xml:space="preserve">DZIAŁANIE 7 </t>
  </si>
  <si>
    <t>Wielkość efektu ekologicznego działania 7</t>
  </si>
  <si>
    <t>DZIAŁANIE 8</t>
  </si>
  <si>
    <t>Wielkość efektu ekologicznego działania 8</t>
  </si>
  <si>
    <t>DZIAŁANIE 9</t>
  </si>
  <si>
    <t>Wielkość efektu ekologicznego działania 9</t>
  </si>
  <si>
    <t xml:space="preserve">DZIAŁANIE 10 </t>
  </si>
  <si>
    <t>Wielkość efektu ekologicznego działania 10</t>
  </si>
  <si>
    <t>DZIAŁANIE 11</t>
  </si>
  <si>
    <t>Wielkość efektu ekologicznego działania 11</t>
  </si>
  <si>
    <t>Czy wymagany, minimalny efekt ekologiczny zostanie osiągnięty?</t>
  </si>
  <si>
    <t xml:space="preserve"> </t>
  </si>
  <si>
    <t>Minimalny efekt ekologiczny dla pyłu zawieszonego PM10 z gminy określony w programie ochrony powietrza</t>
  </si>
  <si>
    <t>źródło: „Budownictwo mieszkaniowe I-III kwartał 2017 r.” GUS</t>
  </si>
  <si>
    <t>Redukcja emisji PM10 [Mg/rok]</t>
  </si>
  <si>
    <t>Redukcja emisji pyłu PM2,5 [Mg/rok]</t>
  </si>
  <si>
    <t>Wyszczególnienie</t>
  </si>
  <si>
    <t>[szt.]</t>
  </si>
  <si>
    <t>Zapotrzebowanie na energię cieplną [kWh/m2/rok]</t>
  </si>
  <si>
    <t>Założenie minimalnego ograniczenia zapotrzebowania na energię cieplną wskutek modernizacji [%]</t>
  </si>
  <si>
    <t>Ograniczenie zużycia energii cieplnej wskutek realizacji PONE [MWh/rok]</t>
  </si>
  <si>
    <t>Zapotrzebowanie na energię cieplną budynków objętych PONE [MWh/rok]</t>
  </si>
  <si>
    <r>
      <t>[kg/m</t>
    </r>
    <r>
      <rPr>
        <b/>
        <vertAlign val="superscript"/>
        <sz val="11"/>
        <color theme="1"/>
        <rFont val="Calibri Light"/>
        <family val="2"/>
        <charset val="238"/>
        <scheme val="major"/>
      </rPr>
      <t>2</t>
    </r>
    <r>
      <rPr>
        <b/>
        <sz val="11"/>
        <color theme="1"/>
        <rFont val="Calibri Light"/>
        <family val="2"/>
        <charset val="238"/>
        <scheme val="major"/>
      </rPr>
      <t>/rok]*</t>
    </r>
  </si>
  <si>
    <r>
      <t>[kWh/m</t>
    </r>
    <r>
      <rPr>
        <b/>
        <vertAlign val="superscript"/>
        <sz val="11"/>
        <color theme="1"/>
        <rFont val="Calibri Light"/>
        <family val="2"/>
        <charset val="238"/>
        <scheme val="major"/>
      </rPr>
      <t>2</t>
    </r>
    <r>
      <rPr>
        <b/>
        <sz val="11"/>
        <color theme="1"/>
        <rFont val="Calibri Light"/>
        <family val="2"/>
        <charset val="238"/>
        <scheme val="major"/>
      </rPr>
      <t>/rok]</t>
    </r>
  </si>
  <si>
    <t>Łączny efekt ekologiczny uzyskany                                            w wyniku przeprowadzenia działań  naprawczych wyrażony w Mg/rok</t>
  </si>
  <si>
    <t xml:space="preserve">Łączna powierzchnia mieszkań na terenie Żyrardowa </t>
  </si>
  <si>
    <t>Liczba mieszkań na terenie Żyrardowa</t>
  </si>
  <si>
    <t>Średnia powierzchnia 1 mieszkania na terenie Żyrardowa</t>
  </si>
  <si>
    <t>Łączne zapotrzebowanie na ciepło mieszkań na terenie Żyrardowa</t>
  </si>
  <si>
    <t xml:space="preserve">Pył zawieszony PM10                                        Obliczenie efektu ekologicznego  </t>
  </si>
  <si>
    <t>Żyrardów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</si>
</sst>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theme="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vertAlign val="superscript"/>
      <sz val="11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36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7" fillId="0" borderId="0" xfId="0" applyFont="1" applyBorder="1"/>
    <xf numFmtId="0" fontId="18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0" xfId="0" applyFont="1" applyBorder="1"/>
    <xf numFmtId="0" fontId="24" fillId="6" borderId="1" xfId="0" applyFont="1" applyFill="1" applyBorder="1"/>
    <xf numFmtId="0" fontId="25" fillId="7" borderId="1" xfId="0" applyFont="1" applyFill="1" applyBorder="1"/>
    <xf numFmtId="0" fontId="23" fillId="0" borderId="0" xfId="0" applyFont="1"/>
    <xf numFmtId="0" fontId="27" fillId="7" borderId="1" xfId="0" applyFont="1" applyFill="1" applyBorder="1"/>
    <xf numFmtId="0" fontId="27" fillId="7" borderId="5" xfId="0" applyFont="1" applyFill="1" applyBorder="1"/>
    <xf numFmtId="0" fontId="19" fillId="7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44" fontId="2" fillId="9" borderId="2" xfId="0" applyNumberFormat="1" applyFont="1" applyFill="1" applyBorder="1" applyAlignment="1">
      <alignment horizontal="center" vertical="center" wrapText="1"/>
    </xf>
    <xf numFmtId="44" fontId="9" fillId="9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4" fillId="6" borderId="5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22" fillId="5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</a:t>
            </a:r>
            <a:r>
              <a:rPr lang="pl-PL" baseline="0"/>
              <a:t> zużycia ciepła</a:t>
            </a:r>
            <a:endParaRPr lang="pl-PL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62-49A5-A4C2-4CEF32D35B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'Założenia do obliczeń'!#REF!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'Założenia do obliczeń'!#REF!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59-4652-9537-5FB1808E9D2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'Efekt ekologiczny '!$F$2</c:f>
              <c:strCache>
                <c:ptCount val="1"/>
                <c:pt idx="0">
                  <c:v>Redukcja emisji PM10 [Mg/rok]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'Efekt ekologiczny '!$B$3:$B$13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'Efekt ekologiczny '!$F$3:$F$13</c:f>
              <c:numCache>
                <c:formatCode>0.00</c:formatCode>
                <c:ptCount val="11"/>
                <c:pt idx="0">
                  <c:v>32.821974079999997</c:v>
                </c:pt>
                <c:pt idx="1">
                  <c:v>7.0949755999999997</c:v>
                </c:pt>
                <c:pt idx="2">
                  <c:v>0.51560879999999998</c:v>
                </c:pt>
                <c:pt idx="3">
                  <c:v>16.031411200000001</c:v>
                </c:pt>
                <c:pt idx="4">
                  <c:v>2.0039264000000001</c:v>
                </c:pt>
                <c:pt idx="5">
                  <c:v>6.0117792000000003</c:v>
                </c:pt>
                <c:pt idx="6">
                  <c:v>47.445151599999996</c:v>
                </c:pt>
                <c:pt idx="7">
                  <c:v>5.5020474000000004</c:v>
                </c:pt>
                <c:pt idx="8">
                  <c:v>5.6759804799999989</c:v>
                </c:pt>
                <c:pt idx="9">
                  <c:v>1.4974596000000002</c:v>
                </c:pt>
                <c:pt idx="10">
                  <c:v>6.9027454599999993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C4-48C8-80EF-B40E23EEB9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7425408"/>
        <c:axId val="197461120"/>
      </c:barChart>
      <c:catAx>
        <c:axId val="19742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461120"/>
        <c:crosses val="autoZero"/>
        <c:auto val="1"/>
        <c:lblAlgn val="ctr"/>
        <c:lblOffset val="100"/>
        <c:noMultiLvlLbl val="0"/>
      </c:catAx>
      <c:valAx>
        <c:axId val="1974611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9742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'Efekt ekologiczny '!$G$2</c:f>
              <c:strCache>
                <c:ptCount val="1"/>
                <c:pt idx="0">
                  <c:v>Redukcja emisji pyłu PM2,5 [Mg/rok]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'Efekt ekologiczny '!$B$3:$B$13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'Efekt ekologiczny '!$G$3:$G$13</c:f>
              <c:numCache>
                <c:formatCode>0.00</c:formatCode>
                <c:ptCount val="11"/>
                <c:pt idx="0">
                  <c:v>32.328671759999999</c:v>
                </c:pt>
                <c:pt idx="1">
                  <c:v>6.9883407000000002</c:v>
                </c:pt>
                <c:pt idx="2">
                  <c:v>0.81180960000000002</c:v>
                </c:pt>
                <c:pt idx="3">
                  <c:v>17.393830399999999</c:v>
                </c:pt>
                <c:pt idx="4">
                  <c:v>1.9297455999999999</c:v>
                </c:pt>
                <c:pt idx="5">
                  <c:v>5.8989408000000001</c:v>
                </c:pt>
                <c:pt idx="6">
                  <c:v>46.731161399999998</c:v>
                </c:pt>
                <c:pt idx="7">
                  <c:v>5.4174185999999995</c:v>
                </c:pt>
                <c:pt idx="8">
                  <c:v>5.5906725599999989</c:v>
                </c:pt>
                <c:pt idx="9">
                  <c:v>1.4727762</c:v>
                </c:pt>
                <c:pt idx="10">
                  <c:v>6.7955750999999998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3C-4106-B557-5B1246A270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7485312"/>
        <c:axId val="197488000"/>
      </c:barChart>
      <c:catAx>
        <c:axId val="19748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488000"/>
        <c:crosses val="autoZero"/>
        <c:auto val="1"/>
        <c:lblAlgn val="ctr"/>
        <c:lblOffset val="100"/>
        <c:noMultiLvlLbl val="0"/>
      </c:catAx>
      <c:valAx>
        <c:axId val="19748800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9748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'Efekt energetyczny'!$I$2</c:f>
              <c:strCache>
                <c:ptCount val="1"/>
                <c:pt idx="0">
                  <c:v>Ograniczenie zużycia energii cieplnej wskutek realizacji PONE [MWh/rok]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'Efekt energetyczny'!$B$3:$B$13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'Efekt energetyczny'!$I$3:$I$13</c:f>
              <c:numCache>
                <c:formatCode>0.00</c:formatCode>
                <c:ptCount val="11"/>
                <c:pt idx="0">
                  <c:v>1250.6256000000001</c:v>
                </c:pt>
                <c:pt idx="1">
                  <c:v>360.45600000000002</c:v>
                </c:pt>
                <c:pt idx="2">
                  <c:v>329.11199999999997</c:v>
                </c:pt>
                <c:pt idx="3">
                  <c:v>1504.5119999999999</c:v>
                </c:pt>
                <c:pt idx="4">
                  <c:v>188.06399999999999</c:v>
                </c:pt>
                <c:pt idx="5">
                  <c:v>282.096</c:v>
                </c:pt>
                <c:pt idx="6">
                  <c:v>1810.116</c:v>
                </c:pt>
                <c:pt idx="7">
                  <c:v>211.572</c:v>
                </c:pt>
                <c:pt idx="8">
                  <c:v>576.7296</c:v>
                </c:pt>
                <c:pt idx="9">
                  <c:v>740.50200000000007</c:v>
                </c:pt>
                <c:pt idx="10">
                  <c:v>1461.4139999999998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71-435A-9976-78A1D949F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7169152"/>
        <c:axId val="197171840"/>
      </c:barChart>
      <c:catAx>
        <c:axId val="19716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171840"/>
        <c:crosses val="autoZero"/>
        <c:auto val="1"/>
        <c:lblAlgn val="ctr"/>
        <c:lblOffset val="100"/>
        <c:noMultiLvlLbl val="0"/>
      </c:catAx>
      <c:valAx>
        <c:axId val="19717184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9716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'Harmonogram rzeczowo-finansowy'!$L$2</c:f>
              <c:strCache>
                <c:ptCount val="1"/>
                <c:pt idx="0">
                  <c:v>Łączny koszt realizacji działania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'Harmonogram rzeczowo-finansowy'!$B$3:$B$13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'Harmonogram rzeczowo-finansowy'!$L$3:$L$13</c:f>
              <c:numCache>
                <c:formatCode>_("zł"* #,##0.00_);_("zł"* \(#,##0.00\);_("zł"* "-"??_);_(@_)</c:formatCode>
                <c:ptCount val="11"/>
                <c:pt idx="0">
                  <c:v>5320000</c:v>
                </c:pt>
                <c:pt idx="1">
                  <c:v>1150000</c:v>
                </c:pt>
                <c:pt idx="2">
                  <c:v>1400000</c:v>
                </c:pt>
                <c:pt idx="3">
                  <c:v>8000000</c:v>
                </c:pt>
                <c:pt idx="4">
                  <c:v>1000000</c:v>
                </c:pt>
                <c:pt idx="5">
                  <c:v>1500000</c:v>
                </c:pt>
                <c:pt idx="6">
                  <c:v>11550000</c:v>
                </c:pt>
                <c:pt idx="7">
                  <c:v>1350000</c:v>
                </c:pt>
                <c:pt idx="8">
                  <c:v>2760000</c:v>
                </c:pt>
                <c:pt idx="9">
                  <c:v>2520000</c:v>
                </c:pt>
                <c:pt idx="10">
                  <c:v>18650000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5-4F7E-B8B3-E95FDCFCD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7529984"/>
        <c:axId val="197532672"/>
      </c:barChart>
      <c:catAx>
        <c:axId val="19752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32672"/>
        <c:crosses val="autoZero"/>
        <c:auto val="1"/>
        <c:lblAlgn val="ctr"/>
        <c:lblOffset val="100"/>
        <c:noMultiLvlLbl val="0"/>
      </c:catAx>
      <c:valAx>
        <c:axId val="197532672"/>
        <c:scaling>
          <c:orientation val="minMax"/>
        </c:scaling>
        <c:delete val="1"/>
        <c:axPos val="l"/>
        <c:numFmt formatCode="_(&quot;zł&quot;* #,##0.00_);_(&quot;zł&quot;* \(#,##0.00\);_(&quot;zł&quot;* &quot;-&quot;??_);_(@_)" sourceLinked="1"/>
        <c:majorTickMark val="none"/>
        <c:minorTickMark val="none"/>
        <c:tickLblPos val="nextTo"/>
        <c:crossAx val="19752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7467248908296942E-2"/>
          <c:y val="0.35355527777777779"/>
          <c:w val="0.96506550218340614"/>
          <c:h val="0.58879472222222218"/>
        </c:manualLayout>
      </c:layout>
      <c:barChart>
        <c:barDir val="col"/>
        <c:grouping val="clustered"/>
        <c:varyColors val="0"/>
        <c:ser>
          <c:idx val="0"/>
          <c:order val="0"/>
          <c:tx>
            <c:v>Koszt modernizacji źródeł ciepła w poszczególnych latach [zł]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'Harmonogram rzeczowo-finansowy'!$F$2:$K$2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'Harmonogram rzeczowo-finansowy'!$F$14:$K$14</c:f>
              <c:numCache>
                <c:formatCode>_("zł"* #,##0.00_);_("zł"* \(#,##0.00\);_("zł"* "-"??_);_(@_)</c:formatCode>
                <c:ptCount val="6"/>
                <c:pt idx="0">
                  <c:v>8897500</c:v>
                </c:pt>
                <c:pt idx="1">
                  <c:v>9225000</c:v>
                </c:pt>
                <c:pt idx="2">
                  <c:v>9347500</c:v>
                </c:pt>
                <c:pt idx="3">
                  <c:v>9380000</c:v>
                </c:pt>
                <c:pt idx="4">
                  <c:v>9185000</c:v>
                </c:pt>
                <c:pt idx="5">
                  <c:v>9165000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8A-46BC-85E5-7F4DD43216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7553152"/>
        <c:axId val="197564288"/>
      </c:barChart>
      <c:catAx>
        <c:axId val="19755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64288"/>
        <c:crosses val="autoZero"/>
        <c:auto val="1"/>
        <c:lblAlgn val="ctr"/>
        <c:lblOffset val="100"/>
        <c:noMultiLvlLbl val="0"/>
      </c:catAx>
      <c:valAx>
        <c:axId val="197564288"/>
        <c:scaling>
          <c:orientation val="minMax"/>
        </c:scaling>
        <c:delete val="1"/>
        <c:axPos val="l"/>
        <c:numFmt formatCode="_(&quot;zł&quot;* #,##0.00_);_(&quot;zł&quot;* \(#,##0.00\);_(&quot;zł&quot;* &quot;-&quot;??_);_(@_)" sourceLinked="1"/>
        <c:majorTickMark val="none"/>
        <c:minorTickMark val="none"/>
        <c:tickLblPos val="nextTo"/>
        <c:crossAx val="19755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4</xdr:col>
      <xdr:colOff>9525</xdr:colOff>
      <xdr:row>1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5DC3C7E7-77D3-4ED8-82E4-9A2E01BF7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49212</xdr:rowOff>
    </xdr:from>
    <xdr:to>
      <xdr:col>3</xdr:col>
      <xdr:colOff>2025650</xdr:colOff>
      <xdr:row>28</xdr:row>
      <xdr:rowOff>125412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87BC31CC-AF30-4C37-8284-8BD815F6A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787400</xdr:colOff>
      <xdr:row>14</xdr:row>
      <xdr:rowOff>84137</xdr:rowOff>
    </xdr:from>
    <xdr:to>
      <xdr:col>6</xdr:col>
      <xdr:colOff>1720850</xdr:colOff>
      <xdr:row>28</xdr:row>
      <xdr:rowOff>160337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400F75B1-C437-49DD-A15E-89C96DC4D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591607</xdr:colOff>
      <xdr:row>14</xdr:row>
      <xdr:rowOff>131762</xdr:rowOff>
    </xdr:from>
    <xdr:to>
      <xdr:col>7</xdr:col>
      <xdr:colOff>12699</xdr:colOff>
      <xdr:row>32</xdr:row>
      <xdr:rowOff>184150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D7E73AE1-F45A-4A0F-8BF0-EDF1DD2D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5</xdr:col>
      <xdr:colOff>657844</xdr:colOff>
      <xdr:row>32</xdr:row>
      <xdr:rowOff>181500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53B0F7B4-BD70-4DB1-AB1E-508FB4924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479424</xdr:colOff>
      <xdr:row>14</xdr:row>
      <xdr:rowOff>188910</xdr:rowOff>
    </xdr:from>
    <xdr:to>
      <xdr:col>10</xdr:col>
      <xdr:colOff>418924</xdr:colOff>
      <xdr:row>32</xdr:row>
      <xdr:rowOff>179910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9BC98ADD-EF51-4A0D-8767-EB9F02130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GN\Piast&#243;w%20PONE\arkusz_nr_2_PM2,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styna\Desktop\CDE%20PONE\PONE%20Ministerstwo%20mazowieckie\Arkusze%20do%20obliczania%20efeltu%20ekologicznego%20(mazowieckie)\arkusz_nr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styna\Desktop\CDE%20PONE\PONE%20Ministerstwo%20mazowieckie\Arkusze%20do%20obliczania%20efeltu%20ekologicznego%20(mazowieckie)\arkusz_nr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UKCJA emisji rocznej z gmin"/>
      <sheetName val="Objaśnienia"/>
      <sheetName val="PM2,5 - obliczenie efektu"/>
    </sheetNames>
    <sheetDataSet>
      <sheetData sheetId="0">
        <row r="2">
          <cell r="B2" t="str">
            <v>Wybierz gminę</v>
          </cell>
        </row>
        <row r="3">
          <cell r="B3" t="str">
            <v>Baboszewo</v>
          </cell>
        </row>
        <row r="4">
          <cell r="B4" t="str">
            <v>Białobrzegi</v>
          </cell>
        </row>
        <row r="5">
          <cell r="B5" t="str">
            <v>Bielsk</v>
          </cell>
        </row>
        <row r="6">
          <cell r="B6" t="str">
            <v>Bieżuń</v>
          </cell>
        </row>
        <row r="7">
          <cell r="B7" t="str">
            <v>Błonie</v>
          </cell>
        </row>
        <row r="8">
          <cell r="B8" t="str">
            <v>Brwinów</v>
          </cell>
        </row>
        <row r="9">
          <cell r="B9" t="str">
            <v>Ciechanów</v>
          </cell>
        </row>
        <row r="10">
          <cell r="B10" t="str">
            <v>Ciechanów (gmina miejska)</v>
          </cell>
        </row>
        <row r="11">
          <cell r="B11" t="str">
            <v>Dębe Wielkie</v>
          </cell>
        </row>
        <row r="12">
          <cell r="B12" t="str">
            <v>Drobin</v>
          </cell>
        </row>
        <row r="13">
          <cell r="B13" t="str">
            <v>Garwolin (gmina miejska)</v>
          </cell>
        </row>
        <row r="14">
          <cell r="B14" t="str">
            <v>Glinojeck</v>
          </cell>
        </row>
        <row r="15">
          <cell r="B15" t="str">
            <v>Gostynin (gmina miejska)</v>
          </cell>
        </row>
        <row r="16">
          <cell r="B16" t="str">
            <v>Góra Kalwaria</v>
          </cell>
        </row>
        <row r="17">
          <cell r="B17" t="str">
            <v>Grodzisk Mazowiecki</v>
          </cell>
        </row>
        <row r="18">
          <cell r="B18" t="str">
            <v>Grójec</v>
          </cell>
        </row>
        <row r="19">
          <cell r="B19" t="str">
            <v>Halinów</v>
          </cell>
        </row>
        <row r="20">
          <cell r="B20" t="str">
            <v>Izabelin</v>
          </cell>
        </row>
        <row r="21">
          <cell r="B21" t="str">
            <v>Jabłonna</v>
          </cell>
        </row>
        <row r="22">
          <cell r="B22" t="str">
            <v>Jaktorów</v>
          </cell>
        </row>
        <row r="23">
          <cell r="B23" t="str">
            <v>Jedlińsk</v>
          </cell>
        </row>
        <row r="24">
          <cell r="B24" t="str">
            <v>Jedlnia-Letnisko</v>
          </cell>
        </row>
        <row r="25">
          <cell r="B25" t="str">
            <v>Józefów</v>
          </cell>
        </row>
        <row r="26">
          <cell r="B26" t="str">
            <v>Kadzidło</v>
          </cell>
        </row>
        <row r="27">
          <cell r="B27" t="str">
            <v>Karczew</v>
          </cell>
        </row>
        <row r="28">
          <cell r="B28" t="str">
            <v>Kobyłka</v>
          </cell>
        </row>
        <row r="29">
          <cell r="B29" t="str">
            <v>Konstancin-Jeziorna</v>
          </cell>
        </row>
        <row r="30">
          <cell r="B30" t="str">
            <v>Kowala</v>
          </cell>
        </row>
        <row r="31">
          <cell r="B31" t="str">
            <v>Kozienice</v>
          </cell>
        </row>
        <row r="32">
          <cell r="B32" t="str">
            <v>Legionowo</v>
          </cell>
        </row>
        <row r="33">
          <cell r="B33" t="str">
            <v>Lesznowola</v>
          </cell>
        </row>
        <row r="34">
          <cell r="B34" t="str">
            <v>Lipsko</v>
          </cell>
        </row>
        <row r="35">
          <cell r="B35" t="str">
            <v>Łochów</v>
          </cell>
        </row>
        <row r="36">
          <cell r="B36" t="str">
            <v>Łomianki</v>
          </cell>
        </row>
        <row r="37">
          <cell r="B37" t="str">
            <v>Łosice</v>
          </cell>
        </row>
        <row r="38">
          <cell r="B38" t="str">
            <v>Łyse</v>
          </cell>
        </row>
        <row r="39">
          <cell r="B39" t="str">
            <v>Magnuszew</v>
          </cell>
        </row>
        <row r="40">
          <cell r="B40" t="str">
            <v>Maków Mazowiecki</v>
          </cell>
        </row>
        <row r="41">
          <cell r="B41" t="str">
            <v>Marki</v>
          </cell>
        </row>
        <row r="42">
          <cell r="B42" t="str">
            <v>Michałowice</v>
          </cell>
        </row>
        <row r="43">
          <cell r="B43" t="str">
            <v>Milanówek</v>
          </cell>
        </row>
        <row r="44">
          <cell r="B44" t="str">
            <v>Mińsk Mazowiecki (gmina wiejska)</v>
          </cell>
        </row>
        <row r="45">
          <cell r="B45" t="str">
            <v>Mińsk Mazowiecki (gmina miejska)</v>
          </cell>
        </row>
        <row r="46">
          <cell r="B46" t="str">
            <v>Mława</v>
          </cell>
        </row>
        <row r="47">
          <cell r="B47" t="str">
            <v>Mszczonów</v>
          </cell>
        </row>
        <row r="48">
          <cell r="B48" t="str">
            <v>Nasielsk</v>
          </cell>
        </row>
        <row r="49">
          <cell r="B49" t="str">
            <v>Nieporęt</v>
          </cell>
        </row>
        <row r="50">
          <cell r="B50" t="str">
            <v>Nowy Dwór Mazowiecki</v>
          </cell>
        </row>
        <row r="51">
          <cell r="B51" t="str">
            <v>Ostrołęka</v>
          </cell>
        </row>
        <row r="52">
          <cell r="B52" t="str">
            <v>Ostrów Mazowiecka (gmina wiejska)</v>
          </cell>
        </row>
        <row r="53">
          <cell r="B53" t="str">
            <v>Ostrów Mazowiecka (gmina miejska)</v>
          </cell>
        </row>
        <row r="54">
          <cell r="B54" t="str">
            <v>Otwock</v>
          </cell>
        </row>
        <row r="55">
          <cell r="B55" t="str">
            <v>Ożarów Mazowiecki</v>
          </cell>
        </row>
        <row r="56">
          <cell r="B56" t="str">
            <v>Piaseczno</v>
          </cell>
        </row>
        <row r="57">
          <cell r="B57" t="str">
            <v>Piastów</v>
          </cell>
        </row>
        <row r="58">
          <cell r="B58" t="str">
            <v>Pionki (gmina wiejska)</v>
          </cell>
        </row>
        <row r="59">
          <cell r="B59" t="str">
            <v>Pionki (gmina miejska)</v>
          </cell>
        </row>
        <row r="60">
          <cell r="B60" t="str">
            <v>Płońsk (gmina wiejska)</v>
          </cell>
        </row>
        <row r="61">
          <cell r="B61" t="str">
            <v>Płońsk (gmina miejska)</v>
          </cell>
        </row>
        <row r="62">
          <cell r="B62" t="str">
            <v>Płock (miasto)</v>
          </cell>
        </row>
        <row r="63">
          <cell r="B63" t="str">
            <v>Podkowa Leśna</v>
          </cell>
        </row>
        <row r="64">
          <cell r="B64" t="str">
            <v>Pokrzywnica</v>
          </cell>
        </row>
        <row r="65">
          <cell r="B65" t="str">
            <v>Pomiechówek</v>
          </cell>
        </row>
        <row r="66">
          <cell r="B66" t="str">
            <v>Pruszków</v>
          </cell>
        </row>
        <row r="67">
          <cell r="B67" t="str">
            <v>Przasnysz (gmina miejska)</v>
          </cell>
        </row>
        <row r="68">
          <cell r="B68" t="str">
            <v>Pułtusk</v>
          </cell>
        </row>
        <row r="69">
          <cell r="B69" t="str">
            <v>Radom (gmina miejska)</v>
          </cell>
        </row>
        <row r="70">
          <cell r="B70" t="str">
            <v>Radzymin</v>
          </cell>
        </row>
        <row r="71">
          <cell r="B71" t="str">
            <v>Raszyn</v>
          </cell>
        </row>
        <row r="72">
          <cell r="B72" t="str">
            <v>Siedlce (gmina miejska)</v>
          </cell>
        </row>
        <row r="73">
          <cell r="B73" t="str">
            <v>Siedlce (gmina wiejska)</v>
          </cell>
        </row>
        <row r="74">
          <cell r="B74" t="str">
            <v>Sierpc (gmina miejska)</v>
          </cell>
        </row>
        <row r="75">
          <cell r="B75" t="str">
            <v>Sobolew</v>
          </cell>
        </row>
        <row r="76">
          <cell r="B76" t="str">
            <v>Sochaczew (gmina wiejska)</v>
          </cell>
        </row>
        <row r="77">
          <cell r="B77" t="str">
            <v>Sochaczew (gmina miejska)</v>
          </cell>
        </row>
        <row r="78">
          <cell r="B78" t="str">
            <v>Sokołów Podlaski (gmina miejska)</v>
          </cell>
        </row>
        <row r="79">
          <cell r="B79" t="str">
            <v>Stanisławów</v>
          </cell>
        </row>
        <row r="80">
          <cell r="B80" t="str">
            <v>Stare Babice</v>
          </cell>
        </row>
        <row r="81">
          <cell r="B81" t="str">
            <v>Sulejówek</v>
          </cell>
        </row>
        <row r="82">
          <cell r="B82" t="str">
            <v>Szydłowiec</v>
          </cell>
        </row>
        <row r="83">
          <cell r="B83" t="str">
            <v>Teresin</v>
          </cell>
        </row>
        <row r="84">
          <cell r="B84" t="str">
            <v>Tłuszcz</v>
          </cell>
        </row>
        <row r="85">
          <cell r="B85" t="str">
            <v>Warka</v>
          </cell>
        </row>
        <row r="86">
          <cell r="B86" t="str">
            <v>Warszawa</v>
          </cell>
        </row>
        <row r="87">
          <cell r="B87" t="str">
            <v>Węgrów</v>
          </cell>
        </row>
        <row r="88">
          <cell r="B88" t="str">
            <v>Wiązowna</v>
          </cell>
        </row>
        <row r="89">
          <cell r="B89" t="str">
            <v>Wieliszew</v>
          </cell>
        </row>
        <row r="90">
          <cell r="B90" t="str">
            <v>Wołomin</v>
          </cell>
        </row>
        <row r="91">
          <cell r="B91" t="str">
            <v>Wyszków</v>
          </cell>
        </row>
        <row r="92">
          <cell r="B92" t="str">
            <v>Zakroczym</v>
          </cell>
        </row>
        <row r="93">
          <cell r="B93" t="str">
            <v>Zakrzew</v>
          </cell>
        </row>
        <row r="94">
          <cell r="B94" t="str">
            <v>Ząbki</v>
          </cell>
        </row>
        <row r="95">
          <cell r="B95" t="str">
            <v>Zielonka</v>
          </cell>
        </row>
        <row r="96">
          <cell r="B96" t="str">
            <v>Zwoleń</v>
          </cell>
        </row>
        <row r="97">
          <cell r="B97" t="str">
            <v>Żuromin</v>
          </cell>
        </row>
        <row r="98">
          <cell r="B98" t="str">
            <v>Żyrardów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UKCJA emisji rocznej z gmin"/>
      <sheetName val="Objaśnienia"/>
      <sheetName val="PM10 - obliczenie efektu"/>
    </sheetNames>
    <sheetDataSet>
      <sheetData sheetId="0">
        <row r="2">
          <cell r="B2" t="str">
            <v>Wybierz gminę</v>
          </cell>
          <cell r="C2" t="str">
            <v>0,0</v>
          </cell>
        </row>
        <row r="3">
          <cell r="B3" t="str">
            <v>Baboszewo</v>
          </cell>
          <cell r="C3">
            <v>7.52</v>
          </cell>
        </row>
        <row r="4">
          <cell r="B4" t="str">
            <v>Białobrzegi</v>
          </cell>
          <cell r="C4">
            <v>17.75</v>
          </cell>
        </row>
        <row r="5">
          <cell r="B5" t="str">
            <v>Bielsk</v>
          </cell>
          <cell r="C5">
            <v>18.989999999999998</v>
          </cell>
        </row>
        <row r="6">
          <cell r="B6" t="str">
            <v>Bieżuń</v>
          </cell>
          <cell r="C6">
            <v>2.66</v>
          </cell>
        </row>
        <row r="7">
          <cell r="B7" t="str">
            <v>Błonie</v>
          </cell>
          <cell r="C7">
            <v>27.77</v>
          </cell>
        </row>
        <row r="8">
          <cell r="B8" t="str">
            <v>Brwinów</v>
          </cell>
          <cell r="C8">
            <v>12.86</v>
          </cell>
        </row>
        <row r="9">
          <cell r="B9" t="str">
            <v>Ciechanów</v>
          </cell>
          <cell r="C9">
            <v>2.75</v>
          </cell>
        </row>
        <row r="10">
          <cell r="B10" t="str">
            <v>Ciechanów (gmina miejska)</v>
          </cell>
          <cell r="C10">
            <v>52.51</v>
          </cell>
        </row>
        <row r="11">
          <cell r="B11" t="str">
            <v>Dębe Wielkie</v>
          </cell>
          <cell r="C11">
            <v>11.92</v>
          </cell>
        </row>
        <row r="12">
          <cell r="B12" t="str">
            <v>Drobin</v>
          </cell>
          <cell r="C12">
            <v>10.9</v>
          </cell>
        </row>
        <row r="13">
          <cell r="B13" t="str">
            <v>Garwolin (gmina miejska)</v>
          </cell>
          <cell r="C13">
            <v>8.1</v>
          </cell>
        </row>
        <row r="14">
          <cell r="B14" t="str">
            <v>Glinojeck</v>
          </cell>
          <cell r="C14">
            <v>5.67</v>
          </cell>
        </row>
        <row r="15">
          <cell r="B15" t="str">
            <v>Gostynin (gmina miejska)</v>
          </cell>
          <cell r="C15">
            <v>21.81</v>
          </cell>
        </row>
        <row r="16">
          <cell r="B16" t="str">
            <v>Góra Kalwaria</v>
          </cell>
          <cell r="C16">
            <v>41.54</v>
          </cell>
        </row>
        <row r="17">
          <cell r="B17" t="str">
            <v>Grodzisk Mazowiecki</v>
          </cell>
          <cell r="C17">
            <v>57.65</v>
          </cell>
        </row>
        <row r="18">
          <cell r="B18" t="str">
            <v>Grójec</v>
          </cell>
          <cell r="C18">
            <v>3.92</v>
          </cell>
        </row>
        <row r="19">
          <cell r="B19" t="str">
            <v>Halinów</v>
          </cell>
          <cell r="C19">
            <v>7.48</v>
          </cell>
        </row>
        <row r="20">
          <cell r="B20" t="str">
            <v>Izabelin</v>
          </cell>
          <cell r="C20">
            <v>1.1499999999999999</v>
          </cell>
        </row>
        <row r="21">
          <cell r="B21" t="str">
            <v>Jabłonna</v>
          </cell>
          <cell r="C21">
            <v>19.02</v>
          </cell>
        </row>
        <row r="22">
          <cell r="B22" t="str">
            <v>Jaktorów</v>
          </cell>
          <cell r="C22">
            <v>11.32</v>
          </cell>
        </row>
        <row r="23">
          <cell r="B23" t="str">
            <v>Jedlińsk</v>
          </cell>
          <cell r="C23">
            <v>12</v>
          </cell>
        </row>
        <row r="24">
          <cell r="B24" t="str">
            <v>Jedlnia-Letnisko</v>
          </cell>
          <cell r="C24">
            <v>13.26</v>
          </cell>
        </row>
        <row r="25">
          <cell r="B25" t="str">
            <v>Józefów</v>
          </cell>
          <cell r="C25">
            <v>6.43</v>
          </cell>
        </row>
        <row r="26">
          <cell r="B26" t="str">
            <v>Kadzidło</v>
          </cell>
          <cell r="C26">
            <v>14.65</v>
          </cell>
        </row>
        <row r="27">
          <cell r="B27" t="str">
            <v>Karczew</v>
          </cell>
          <cell r="C27">
            <v>28.47</v>
          </cell>
        </row>
        <row r="28">
          <cell r="B28" t="str">
            <v>Kobyłka</v>
          </cell>
          <cell r="C28">
            <v>12.6</v>
          </cell>
        </row>
        <row r="29">
          <cell r="B29" t="str">
            <v>Konstancin-Jeziorna</v>
          </cell>
          <cell r="C29">
            <v>3.02</v>
          </cell>
        </row>
        <row r="30">
          <cell r="B30" t="str">
            <v>Kowala</v>
          </cell>
          <cell r="C30">
            <v>5.81</v>
          </cell>
        </row>
        <row r="31">
          <cell r="B31" t="str">
            <v>Kozienice</v>
          </cell>
          <cell r="C31">
            <v>12.3</v>
          </cell>
        </row>
        <row r="32">
          <cell r="B32" t="str">
            <v>Legionowo</v>
          </cell>
          <cell r="C32">
            <v>50.01</v>
          </cell>
        </row>
        <row r="33">
          <cell r="B33" t="str">
            <v>Lesznowola</v>
          </cell>
          <cell r="C33">
            <v>2.0699999999999998</v>
          </cell>
        </row>
        <row r="34">
          <cell r="B34" t="str">
            <v>Lipsko</v>
          </cell>
          <cell r="C34">
            <v>17.309999999999999</v>
          </cell>
        </row>
        <row r="35">
          <cell r="B35" t="str">
            <v>Łochów</v>
          </cell>
          <cell r="C35">
            <v>46.63</v>
          </cell>
        </row>
        <row r="36">
          <cell r="B36" t="str">
            <v>Łomianki</v>
          </cell>
          <cell r="C36">
            <v>4.26</v>
          </cell>
        </row>
        <row r="37">
          <cell r="B37" t="str">
            <v>Łosice</v>
          </cell>
          <cell r="C37">
            <v>17.239999999999998</v>
          </cell>
        </row>
        <row r="38">
          <cell r="B38" t="str">
            <v>Łyse</v>
          </cell>
          <cell r="C38">
            <v>26.28</v>
          </cell>
        </row>
        <row r="39">
          <cell r="B39" t="str">
            <v>Magnuszew</v>
          </cell>
          <cell r="C39">
            <v>3.53</v>
          </cell>
        </row>
        <row r="40">
          <cell r="B40" t="str">
            <v>Maków Mazowiecki</v>
          </cell>
          <cell r="C40">
            <v>24.8</v>
          </cell>
        </row>
        <row r="41">
          <cell r="B41" t="str">
            <v>Marki</v>
          </cell>
          <cell r="C41">
            <v>22.05</v>
          </cell>
        </row>
        <row r="42">
          <cell r="B42" t="str">
            <v>Michałowice</v>
          </cell>
          <cell r="C42">
            <v>2.36</v>
          </cell>
        </row>
        <row r="43">
          <cell r="B43" t="str">
            <v>Milanówek</v>
          </cell>
          <cell r="C43">
            <v>8.75</v>
          </cell>
        </row>
        <row r="44">
          <cell r="B44" t="str">
            <v>Mińsk Mazowiecki (gmina wiejska)</v>
          </cell>
          <cell r="C44">
            <v>42.27</v>
          </cell>
        </row>
        <row r="45">
          <cell r="B45" t="str">
            <v>Mińsk Mazowiecki (gmina miejska)</v>
          </cell>
          <cell r="C45">
            <v>88.3</v>
          </cell>
        </row>
        <row r="46">
          <cell r="B46" t="str">
            <v>Mława</v>
          </cell>
          <cell r="C46">
            <v>40.17</v>
          </cell>
        </row>
        <row r="47">
          <cell r="B47" t="str">
            <v>Mszczonów</v>
          </cell>
          <cell r="C47">
            <v>12.2</v>
          </cell>
        </row>
        <row r="48">
          <cell r="B48" t="str">
            <v>Nasielsk</v>
          </cell>
          <cell r="C48">
            <v>26.77</v>
          </cell>
        </row>
        <row r="49">
          <cell r="B49" t="str">
            <v>Nieporęt</v>
          </cell>
          <cell r="C49">
            <v>7.88</v>
          </cell>
        </row>
        <row r="50">
          <cell r="B50" t="str">
            <v>Nowy Dwór Mazowiecki</v>
          </cell>
          <cell r="C50">
            <v>41.35</v>
          </cell>
        </row>
        <row r="51">
          <cell r="B51" t="str">
            <v>Ostrołęka</v>
          </cell>
          <cell r="C51">
            <v>26.25</v>
          </cell>
        </row>
        <row r="52">
          <cell r="B52" t="str">
            <v>Ostrów Mazowiecka (gmina wiejska)</v>
          </cell>
          <cell r="C52">
            <v>8.69</v>
          </cell>
        </row>
        <row r="53">
          <cell r="B53" t="str">
            <v>Ostrów Mazowiecka (gmina miejska)</v>
          </cell>
          <cell r="C53">
            <v>55.09</v>
          </cell>
        </row>
        <row r="54">
          <cell r="B54" t="str">
            <v>Otwock</v>
          </cell>
          <cell r="C54">
            <v>136.80000000000001</v>
          </cell>
        </row>
        <row r="55">
          <cell r="B55" t="str">
            <v>Ożarów Mazowiecki</v>
          </cell>
          <cell r="C55">
            <v>29.99</v>
          </cell>
        </row>
        <row r="56">
          <cell r="B56" t="str">
            <v>Piaseczno</v>
          </cell>
          <cell r="C56">
            <v>72.03</v>
          </cell>
        </row>
        <row r="57">
          <cell r="B57" t="str">
            <v>Piastów</v>
          </cell>
          <cell r="C57">
            <v>14.86</v>
          </cell>
        </row>
        <row r="58">
          <cell r="B58" t="str">
            <v>Pionki (gmina wiejska)</v>
          </cell>
          <cell r="C58">
            <v>6.78</v>
          </cell>
        </row>
        <row r="59">
          <cell r="B59" t="str">
            <v>Pionki (gmina miejska)</v>
          </cell>
          <cell r="C59">
            <v>21.05</v>
          </cell>
        </row>
        <row r="60">
          <cell r="B60" t="str">
            <v>Płońsk (gmina wiejska)</v>
          </cell>
          <cell r="C60">
            <v>5.35</v>
          </cell>
        </row>
        <row r="61">
          <cell r="B61" t="str">
            <v>Płońsk (gmina miejska)</v>
          </cell>
          <cell r="C61">
            <v>10.57</v>
          </cell>
        </row>
        <row r="62">
          <cell r="B62" t="str">
            <v>Płock (miasto)</v>
          </cell>
          <cell r="C62">
            <v>25.94</v>
          </cell>
        </row>
        <row r="63">
          <cell r="B63" t="str">
            <v>Podkowa Leśna</v>
          </cell>
          <cell r="C63">
            <v>0.94</v>
          </cell>
        </row>
        <row r="64">
          <cell r="B64" t="str">
            <v>Pokrzywnica</v>
          </cell>
          <cell r="C64">
            <v>2.57</v>
          </cell>
        </row>
        <row r="65">
          <cell r="B65" t="str">
            <v>Pomiechówek</v>
          </cell>
          <cell r="C65">
            <v>12.82</v>
          </cell>
        </row>
        <row r="66">
          <cell r="B66" t="str">
            <v>Pruszków</v>
          </cell>
          <cell r="C66">
            <v>79.67</v>
          </cell>
        </row>
        <row r="67">
          <cell r="B67" t="str">
            <v>Przasnysz (gmina miejska)</v>
          </cell>
          <cell r="C67">
            <v>34.270000000000003</v>
          </cell>
        </row>
        <row r="68">
          <cell r="B68" t="str">
            <v>Pułtusk</v>
          </cell>
          <cell r="C68">
            <v>68.38</v>
          </cell>
        </row>
        <row r="69">
          <cell r="B69" t="str">
            <v>Radom (gmina miejska)</v>
          </cell>
          <cell r="C69">
            <v>241.54</v>
          </cell>
        </row>
        <row r="70">
          <cell r="B70" t="str">
            <v>Radzymin</v>
          </cell>
          <cell r="C70">
            <v>11.5</v>
          </cell>
        </row>
        <row r="71">
          <cell r="B71" t="str">
            <v>Raszyn</v>
          </cell>
          <cell r="C71">
            <v>0.9</v>
          </cell>
        </row>
        <row r="72">
          <cell r="B72" t="str">
            <v>Siedlce (gmina miejska)</v>
          </cell>
          <cell r="C72">
            <v>58.52</v>
          </cell>
        </row>
        <row r="73">
          <cell r="B73" t="str">
            <v>Siedlce (gmina wiejska)</v>
          </cell>
          <cell r="C73">
            <v>10.01</v>
          </cell>
        </row>
        <row r="74">
          <cell r="B74" t="str">
            <v>Sierpc (gmina miejska)</v>
          </cell>
          <cell r="C74">
            <v>39.35</v>
          </cell>
        </row>
        <row r="75">
          <cell r="B75" t="str">
            <v>Sobolew</v>
          </cell>
          <cell r="C75">
            <v>7.06</v>
          </cell>
        </row>
        <row r="76">
          <cell r="B76" t="str">
            <v>Sochaczew (gmina wiejska)</v>
          </cell>
          <cell r="C76">
            <v>110.19</v>
          </cell>
        </row>
        <row r="77">
          <cell r="B77" t="str">
            <v>Sochaczew (gmina miejska)</v>
          </cell>
          <cell r="C77">
            <v>15.92</v>
          </cell>
        </row>
        <row r="78">
          <cell r="B78" t="str">
            <v>Sokołów Podlaski (gmina miejska)</v>
          </cell>
          <cell r="C78">
            <v>65.180000000000007</v>
          </cell>
        </row>
        <row r="79">
          <cell r="B79" t="str">
            <v>Stanisławów</v>
          </cell>
          <cell r="C79">
            <v>4.8600000000000003</v>
          </cell>
        </row>
        <row r="80">
          <cell r="B80" t="str">
            <v>Stare Babice</v>
          </cell>
          <cell r="C80">
            <v>4.12</v>
          </cell>
        </row>
        <row r="81">
          <cell r="B81" t="str">
            <v>Sulejówek</v>
          </cell>
          <cell r="C81">
            <v>6.39</v>
          </cell>
        </row>
        <row r="82">
          <cell r="B82" t="str">
            <v>Szydłowiec</v>
          </cell>
          <cell r="C82">
            <v>18.62</v>
          </cell>
        </row>
        <row r="83">
          <cell r="B83" t="str">
            <v>Teresin</v>
          </cell>
          <cell r="C83">
            <v>8.0299999999999994</v>
          </cell>
        </row>
        <row r="84">
          <cell r="B84" t="str">
            <v>Tłuszcz</v>
          </cell>
          <cell r="C84">
            <v>20.52</v>
          </cell>
        </row>
        <row r="85">
          <cell r="B85" t="str">
            <v>Warka</v>
          </cell>
          <cell r="C85">
            <v>15</v>
          </cell>
        </row>
        <row r="86">
          <cell r="B86" t="str">
            <v>Warszawa</v>
          </cell>
          <cell r="C86">
            <v>539.67999999999995</v>
          </cell>
        </row>
        <row r="87">
          <cell r="B87" t="str">
            <v>Węgrów</v>
          </cell>
          <cell r="C87">
            <v>21.38</v>
          </cell>
        </row>
        <row r="88">
          <cell r="B88" t="str">
            <v>Wiązowna</v>
          </cell>
          <cell r="C88">
            <v>6.13</v>
          </cell>
        </row>
        <row r="89">
          <cell r="B89" t="str">
            <v>Wieliszew</v>
          </cell>
          <cell r="C89">
            <v>21.46</v>
          </cell>
        </row>
        <row r="90">
          <cell r="B90" t="str">
            <v>Wołomin</v>
          </cell>
          <cell r="C90">
            <v>151.36000000000001</v>
          </cell>
        </row>
        <row r="91">
          <cell r="B91" t="str">
            <v>Wyszków</v>
          </cell>
          <cell r="C91">
            <v>66.099999999999994</v>
          </cell>
        </row>
        <row r="92">
          <cell r="B92" t="str">
            <v>Zakroczym</v>
          </cell>
          <cell r="C92">
            <v>9.6300000000000008</v>
          </cell>
        </row>
        <row r="93">
          <cell r="B93" t="str">
            <v>Zakrzew</v>
          </cell>
          <cell r="C93">
            <v>33.31</v>
          </cell>
        </row>
        <row r="94">
          <cell r="B94" t="str">
            <v>Ząbki</v>
          </cell>
          <cell r="C94">
            <v>30.19</v>
          </cell>
        </row>
        <row r="95">
          <cell r="B95" t="str">
            <v>Zielonka</v>
          </cell>
          <cell r="C95">
            <v>11.77</v>
          </cell>
        </row>
        <row r="96">
          <cell r="B96" t="str">
            <v>Zwoleń</v>
          </cell>
          <cell r="C96">
            <v>20.420000000000002</v>
          </cell>
        </row>
        <row r="97">
          <cell r="B97" t="str">
            <v>Żuromin</v>
          </cell>
          <cell r="C97">
            <v>12.4</v>
          </cell>
        </row>
        <row r="98">
          <cell r="B98" t="str">
            <v>Żyrardów</v>
          </cell>
          <cell r="C98">
            <v>100.65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UKCJA emisji rocznej z gmin"/>
      <sheetName val="Objaśnienia"/>
      <sheetName val="PM2,5 - obliczenie efektu"/>
    </sheetNames>
    <sheetDataSet>
      <sheetData sheetId="0">
        <row r="2">
          <cell r="B2" t="str">
            <v>Wybierz gminę</v>
          </cell>
          <cell r="C2" t="str">
            <v>0,0</v>
          </cell>
        </row>
        <row r="3">
          <cell r="B3" t="str">
            <v>Baboszewo</v>
          </cell>
          <cell r="C3">
            <v>7.41</v>
          </cell>
        </row>
        <row r="4">
          <cell r="B4" t="str">
            <v>Białobrzegi</v>
          </cell>
          <cell r="C4">
            <v>17.48</v>
          </cell>
        </row>
        <row r="5">
          <cell r="B5" t="str">
            <v>Bielsk</v>
          </cell>
          <cell r="C5">
            <v>18.71</v>
          </cell>
        </row>
        <row r="6">
          <cell r="B6" t="str">
            <v>Bieżuń</v>
          </cell>
          <cell r="C6">
            <v>2.62</v>
          </cell>
        </row>
        <row r="7">
          <cell r="B7" t="str">
            <v>Błonie</v>
          </cell>
          <cell r="C7">
            <v>27.34</v>
          </cell>
        </row>
        <row r="8">
          <cell r="B8" t="str">
            <v>Brwinów</v>
          </cell>
          <cell r="C8">
            <v>12.66</v>
          </cell>
        </row>
        <row r="9">
          <cell r="B9" t="str">
            <v>Ciechanów</v>
          </cell>
          <cell r="C9">
            <v>2.71</v>
          </cell>
        </row>
        <row r="10">
          <cell r="B10" t="str">
            <v>Ciechanów (gmina miejska)</v>
          </cell>
          <cell r="C10">
            <v>51.7</v>
          </cell>
        </row>
        <row r="11">
          <cell r="B11" t="str">
            <v>Dębe Wielkie</v>
          </cell>
          <cell r="C11">
            <v>11.74</v>
          </cell>
        </row>
        <row r="12">
          <cell r="B12" t="str">
            <v>Drobin</v>
          </cell>
          <cell r="C12">
            <v>10.73</v>
          </cell>
        </row>
        <row r="13">
          <cell r="B13" t="str">
            <v>Garwolin (gmina miejska)</v>
          </cell>
          <cell r="C13">
            <v>7.98</v>
          </cell>
        </row>
        <row r="14">
          <cell r="B14" t="str">
            <v>Glinojeck</v>
          </cell>
          <cell r="C14">
            <v>5.58</v>
          </cell>
        </row>
        <row r="15">
          <cell r="B15" t="str">
            <v>Gostynin (gmina miejska)</v>
          </cell>
          <cell r="C15">
            <v>21.48</v>
          </cell>
        </row>
        <row r="16">
          <cell r="B16" t="str">
            <v>Góra Kalwaria</v>
          </cell>
          <cell r="C16">
            <v>40.909999999999997</v>
          </cell>
        </row>
        <row r="17">
          <cell r="B17" t="str">
            <v>Grodzisk Mazowiecki</v>
          </cell>
          <cell r="C17">
            <v>56.77</v>
          </cell>
        </row>
        <row r="18">
          <cell r="B18" t="str">
            <v>Grójec</v>
          </cell>
          <cell r="C18">
            <v>3.86</v>
          </cell>
        </row>
        <row r="19">
          <cell r="B19" t="str">
            <v>Halinów</v>
          </cell>
          <cell r="C19">
            <v>7.37</v>
          </cell>
        </row>
        <row r="20">
          <cell r="B20" t="str">
            <v>Izabelin</v>
          </cell>
          <cell r="C20">
            <v>1.1299999999999999</v>
          </cell>
        </row>
        <row r="21">
          <cell r="B21" t="str">
            <v>Jabłonna</v>
          </cell>
          <cell r="C21">
            <v>18.73</v>
          </cell>
        </row>
        <row r="22">
          <cell r="B22" t="str">
            <v>Jaktorów</v>
          </cell>
          <cell r="C22">
            <v>11.15</v>
          </cell>
        </row>
        <row r="23">
          <cell r="B23" t="str">
            <v>Jedlińsk</v>
          </cell>
          <cell r="C23">
            <v>11.82</v>
          </cell>
        </row>
        <row r="24">
          <cell r="B24" t="str">
            <v>Jedlnia-Letnisko</v>
          </cell>
          <cell r="C24">
            <v>13.06</v>
          </cell>
        </row>
        <row r="25">
          <cell r="B25" t="str">
            <v>Józefów</v>
          </cell>
          <cell r="C25">
            <v>6.33</v>
          </cell>
        </row>
        <row r="26">
          <cell r="B26" t="str">
            <v>Kadzidło</v>
          </cell>
          <cell r="C26">
            <v>14.43</v>
          </cell>
        </row>
        <row r="27">
          <cell r="B27" t="str">
            <v>Karczew</v>
          </cell>
          <cell r="C27">
            <v>28.04</v>
          </cell>
        </row>
        <row r="28">
          <cell r="B28" t="str">
            <v>Kobyłka</v>
          </cell>
          <cell r="C28">
            <v>12.4</v>
          </cell>
        </row>
        <row r="29">
          <cell r="B29" t="str">
            <v>Konstancin-Jeziorna</v>
          </cell>
          <cell r="C29">
            <v>2.97</v>
          </cell>
        </row>
        <row r="30">
          <cell r="B30" t="str">
            <v>Kowala</v>
          </cell>
          <cell r="C30">
            <v>5.73</v>
          </cell>
        </row>
        <row r="31">
          <cell r="B31" t="str">
            <v>Kozienice</v>
          </cell>
          <cell r="C31">
            <v>12.11</v>
          </cell>
        </row>
        <row r="32">
          <cell r="B32" t="str">
            <v>Legionowo</v>
          </cell>
          <cell r="C32">
            <v>49.22</v>
          </cell>
        </row>
        <row r="33">
          <cell r="B33" t="str">
            <v>Lesznowola</v>
          </cell>
          <cell r="C33">
            <v>2.0299999999999998</v>
          </cell>
        </row>
        <row r="34">
          <cell r="B34" t="str">
            <v>Lipsko</v>
          </cell>
          <cell r="C34">
            <v>17.05</v>
          </cell>
        </row>
        <row r="35">
          <cell r="B35" t="str">
            <v>Łochów</v>
          </cell>
          <cell r="C35">
            <v>45.93</v>
          </cell>
        </row>
        <row r="36">
          <cell r="B36" t="str">
            <v>Łomianki</v>
          </cell>
          <cell r="C36">
            <v>4.1900000000000004</v>
          </cell>
        </row>
        <row r="37">
          <cell r="B37" t="str">
            <v>Łosice</v>
          </cell>
          <cell r="C37">
            <v>16.98</v>
          </cell>
        </row>
        <row r="38">
          <cell r="B38" t="str">
            <v>Łyse</v>
          </cell>
          <cell r="C38">
            <v>25.89</v>
          </cell>
        </row>
        <row r="39">
          <cell r="B39" t="str">
            <v>Magnuszew</v>
          </cell>
          <cell r="C39">
            <v>3.48</v>
          </cell>
        </row>
        <row r="40">
          <cell r="B40" t="str">
            <v>Maków Mazowiecki</v>
          </cell>
          <cell r="C40">
            <v>24.42</v>
          </cell>
        </row>
        <row r="41">
          <cell r="B41" t="str">
            <v>Marki</v>
          </cell>
          <cell r="C41">
            <v>21.71</v>
          </cell>
        </row>
        <row r="42">
          <cell r="B42" t="str">
            <v>Michałowice</v>
          </cell>
          <cell r="C42">
            <v>2.3199999999999998</v>
          </cell>
        </row>
        <row r="43">
          <cell r="B43" t="str">
            <v>Milanówek</v>
          </cell>
          <cell r="C43">
            <v>8.6199999999999992</v>
          </cell>
        </row>
        <row r="44">
          <cell r="B44" t="str">
            <v>Mińsk Mazowiecki (gmina wiejska)</v>
          </cell>
          <cell r="C44">
            <v>41.63</v>
          </cell>
        </row>
        <row r="45">
          <cell r="B45" t="str">
            <v>Mińsk Mazowiecki (gmina miejska)</v>
          </cell>
          <cell r="C45">
            <v>86.96</v>
          </cell>
        </row>
        <row r="46">
          <cell r="B46" t="str">
            <v>Mława</v>
          </cell>
          <cell r="C46">
            <v>39.549999999999997</v>
          </cell>
        </row>
        <row r="47">
          <cell r="B47" t="str">
            <v>Mszczonów</v>
          </cell>
          <cell r="C47">
            <v>12.01</v>
          </cell>
        </row>
        <row r="48">
          <cell r="B48" t="str">
            <v>Nasielsk</v>
          </cell>
          <cell r="C48">
            <v>26.36</v>
          </cell>
        </row>
        <row r="49">
          <cell r="B49" t="str">
            <v>Nieporęt</v>
          </cell>
          <cell r="C49">
            <v>7.76</v>
          </cell>
        </row>
        <row r="50">
          <cell r="B50" t="str">
            <v>Nowy Dwór Mazowiecki</v>
          </cell>
          <cell r="C50">
            <v>40.72</v>
          </cell>
        </row>
        <row r="51">
          <cell r="B51" t="str">
            <v>Ostrołęka</v>
          </cell>
          <cell r="C51">
            <v>25.84</v>
          </cell>
        </row>
        <row r="52">
          <cell r="B52" t="str">
            <v>Ostrów Mazowiecka (gmina wiejska)</v>
          </cell>
          <cell r="C52">
            <v>8.56</v>
          </cell>
        </row>
        <row r="53">
          <cell r="B53" t="str">
            <v>Ostrów Mazowiecka (gmina miejska)</v>
          </cell>
          <cell r="C53">
            <v>54.25</v>
          </cell>
        </row>
        <row r="54">
          <cell r="B54" t="str">
            <v>Otwock</v>
          </cell>
          <cell r="C54">
            <v>134.72</v>
          </cell>
        </row>
        <row r="55">
          <cell r="B55" t="str">
            <v>Ożarów Mazowiecki</v>
          </cell>
          <cell r="C55">
            <v>29.53</v>
          </cell>
        </row>
        <row r="56">
          <cell r="B56" t="str">
            <v>Piaseczno</v>
          </cell>
          <cell r="C56">
            <v>70.900000000000006</v>
          </cell>
        </row>
        <row r="57">
          <cell r="B57" t="str">
            <v>Piastów</v>
          </cell>
          <cell r="C57">
            <v>14.63</v>
          </cell>
        </row>
        <row r="58">
          <cell r="B58" t="str">
            <v>Pionki (gmina wiejska)</v>
          </cell>
          <cell r="C58">
            <v>6.68</v>
          </cell>
        </row>
        <row r="59">
          <cell r="B59" t="str">
            <v>Pionki (gmina miejska)</v>
          </cell>
          <cell r="C59">
            <v>20.73</v>
          </cell>
        </row>
        <row r="60">
          <cell r="B60" t="str">
            <v>Płońsk (gmina wiejska)</v>
          </cell>
          <cell r="C60">
            <v>5.27</v>
          </cell>
        </row>
        <row r="61">
          <cell r="B61" t="str">
            <v>Płońsk (gmina miejska)</v>
          </cell>
          <cell r="C61">
            <v>10.4</v>
          </cell>
        </row>
        <row r="62">
          <cell r="B62" t="str">
            <v>Płock (miasto)</v>
          </cell>
          <cell r="C62">
            <v>25</v>
          </cell>
        </row>
        <row r="63">
          <cell r="B63" t="str">
            <v>Podkowa Leśna</v>
          </cell>
          <cell r="C63">
            <v>0.92</v>
          </cell>
        </row>
        <row r="64">
          <cell r="B64" t="str">
            <v>Pokrzywnica</v>
          </cell>
          <cell r="C64">
            <v>2.5299999999999998</v>
          </cell>
        </row>
        <row r="65">
          <cell r="B65" t="str">
            <v>Pomiechówek</v>
          </cell>
          <cell r="C65">
            <v>12.62</v>
          </cell>
        </row>
        <row r="66">
          <cell r="B66" t="str">
            <v>Pruszków</v>
          </cell>
          <cell r="C66">
            <v>78.430000000000007</v>
          </cell>
        </row>
        <row r="67">
          <cell r="B67" t="str">
            <v>Przasnysz (gmina miejska)</v>
          </cell>
          <cell r="C67">
            <v>33.74</v>
          </cell>
        </row>
        <row r="68">
          <cell r="B68" t="str">
            <v>Pułtusk</v>
          </cell>
          <cell r="C68">
            <v>67.34</v>
          </cell>
        </row>
        <row r="69">
          <cell r="B69" t="str">
            <v>Radom (gmina miejska)</v>
          </cell>
          <cell r="C69">
            <v>237.93</v>
          </cell>
        </row>
        <row r="70">
          <cell r="B70" t="str">
            <v>Radzymin</v>
          </cell>
          <cell r="C70">
            <v>11.33</v>
          </cell>
        </row>
        <row r="71">
          <cell r="B71" t="str">
            <v>Raszyn</v>
          </cell>
          <cell r="C71">
            <v>0.88</v>
          </cell>
        </row>
        <row r="72">
          <cell r="B72" t="str">
            <v>Siedlce (gmina miejska)</v>
          </cell>
          <cell r="C72">
            <v>57.6</v>
          </cell>
        </row>
        <row r="73">
          <cell r="B73" t="str">
            <v>Siedlce (gmina wiejska)</v>
          </cell>
          <cell r="C73">
            <v>9.86</v>
          </cell>
        </row>
        <row r="74">
          <cell r="B74" t="str">
            <v>Sierpc (gmina miejska)</v>
          </cell>
          <cell r="C74">
            <v>38.75</v>
          </cell>
        </row>
        <row r="75">
          <cell r="B75" t="str">
            <v>Sobolew</v>
          </cell>
          <cell r="C75">
            <v>6.96</v>
          </cell>
        </row>
        <row r="76">
          <cell r="B76" t="str">
            <v>Sochaczew (gmina wiejska)</v>
          </cell>
          <cell r="C76">
            <v>108.52</v>
          </cell>
        </row>
        <row r="77">
          <cell r="B77" t="str">
            <v>Sochaczew (gmina miejska)</v>
          </cell>
          <cell r="C77">
            <v>15.68</v>
          </cell>
        </row>
        <row r="78">
          <cell r="B78" t="str">
            <v>Sokołów Podlaski (gmina miejska)</v>
          </cell>
          <cell r="C78">
            <v>64.19</v>
          </cell>
        </row>
        <row r="79">
          <cell r="B79" t="str">
            <v>Stanisławów</v>
          </cell>
          <cell r="C79">
            <v>4.79</v>
          </cell>
        </row>
        <row r="80">
          <cell r="B80" t="str">
            <v>Stare Babice</v>
          </cell>
          <cell r="C80">
            <v>4.0599999999999996</v>
          </cell>
        </row>
        <row r="81">
          <cell r="B81" t="str">
            <v>Sulejówek</v>
          </cell>
          <cell r="C81">
            <v>6.29</v>
          </cell>
        </row>
        <row r="82">
          <cell r="B82" t="str">
            <v>Szydłowiec</v>
          </cell>
          <cell r="C82">
            <v>18.34</v>
          </cell>
        </row>
        <row r="83">
          <cell r="B83" t="str">
            <v>Teresin</v>
          </cell>
          <cell r="C83">
            <v>7.91</v>
          </cell>
        </row>
        <row r="84">
          <cell r="B84" t="str">
            <v>Tłuszcz</v>
          </cell>
          <cell r="C84">
            <v>20.21</v>
          </cell>
        </row>
        <row r="85">
          <cell r="B85" t="str">
            <v>Warka</v>
          </cell>
          <cell r="C85">
            <v>14.77</v>
          </cell>
        </row>
        <row r="86">
          <cell r="B86" t="str">
            <v>Warszawa</v>
          </cell>
          <cell r="C86">
            <v>528.87</v>
          </cell>
        </row>
        <row r="87">
          <cell r="B87" t="str">
            <v>Węgrów</v>
          </cell>
          <cell r="C87">
            <v>21.06</v>
          </cell>
        </row>
        <row r="88">
          <cell r="B88" t="str">
            <v>Wiązowna</v>
          </cell>
          <cell r="C88">
            <v>6.04</v>
          </cell>
        </row>
        <row r="89">
          <cell r="B89" t="str">
            <v>Wieliszew</v>
          </cell>
          <cell r="C89">
            <v>21.13</v>
          </cell>
        </row>
        <row r="90">
          <cell r="B90" t="str">
            <v>Wołomin</v>
          </cell>
          <cell r="C90">
            <v>149.06</v>
          </cell>
        </row>
        <row r="91">
          <cell r="B91" t="str">
            <v>Wyszków</v>
          </cell>
          <cell r="C91">
            <v>65.09</v>
          </cell>
        </row>
        <row r="92">
          <cell r="B92" t="str">
            <v>Zakroczym</v>
          </cell>
          <cell r="C92">
            <v>9.49</v>
          </cell>
        </row>
        <row r="93">
          <cell r="B93" t="str">
            <v>Zakrzew</v>
          </cell>
          <cell r="C93">
            <v>32.81</v>
          </cell>
        </row>
        <row r="94">
          <cell r="B94" t="str">
            <v>Ząbki</v>
          </cell>
          <cell r="C94">
            <v>29.71</v>
          </cell>
        </row>
        <row r="95">
          <cell r="B95" t="str">
            <v>Zielonka</v>
          </cell>
          <cell r="C95">
            <v>11.58</v>
          </cell>
        </row>
        <row r="96">
          <cell r="B96" t="str">
            <v>Zwoleń</v>
          </cell>
          <cell r="C96">
            <v>20.12</v>
          </cell>
        </row>
        <row r="97">
          <cell r="B97" t="str">
            <v>Żuromin</v>
          </cell>
          <cell r="C97">
            <v>12.22</v>
          </cell>
        </row>
        <row r="98">
          <cell r="B98" t="str">
            <v>Żyrardów</v>
          </cell>
          <cell r="C98">
            <v>99.12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showGridLines="0" view="pageBreakPreview" topLeftCell="A3" zoomScale="60" zoomScaleNormal="100" workbookViewId="0">
      <selection activeCell="C20" sqref="C20"/>
    </sheetView>
  </sheetViews>
  <sheetFormatPr defaultColWidth="9.140625" defaultRowHeight="15" x14ac:dyDescent="0.25"/>
  <cols>
    <col min="1" max="1" width="9.140625" style="6"/>
    <col min="2" max="2" width="28.42578125" style="6" customWidth="1"/>
    <col min="3" max="3" width="27.7109375" style="36" customWidth="1"/>
    <col min="4" max="4" width="51" style="6" customWidth="1"/>
    <col min="5" max="16384" width="9.140625" style="6"/>
  </cols>
  <sheetData>
    <row r="2" spans="2:12" ht="57" customHeight="1" x14ac:dyDescent="0.25">
      <c r="B2" s="71" t="s">
        <v>1</v>
      </c>
      <c r="C2" s="71"/>
      <c r="D2" s="71"/>
      <c r="E2" s="35"/>
      <c r="F2" s="35"/>
      <c r="G2" s="35"/>
      <c r="H2" s="35"/>
      <c r="I2" s="35"/>
      <c r="J2" s="35"/>
      <c r="K2" s="35"/>
      <c r="L2" s="35"/>
    </row>
    <row r="3" spans="2:12" ht="18" customHeight="1" x14ac:dyDescent="0.35">
      <c r="B3" s="37"/>
      <c r="C3" s="37"/>
      <c r="D3" s="37"/>
      <c r="E3" s="35"/>
      <c r="F3" s="35"/>
      <c r="G3" s="35"/>
      <c r="H3" s="35"/>
      <c r="I3" s="35"/>
      <c r="J3" s="35"/>
      <c r="K3" s="35"/>
      <c r="L3" s="35"/>
    </row>
    <row r="4" spans="2:12" ht="45" x14ac:dyDescent="0.25">
      <c r="B4" s="73" t="s">
        <v>2</v>
      </c>
      <c r="C4" s="73" t="s">
        <v>3</v>
      </c>
      <c r="D4" s="58" t="s">
        <v>4</v>
      </c>
    </row>
    <row r="5" spans="2:12" ht="17.25" x14ac:dyDescent="0.25">
      <c r="B5" s="73"/>
      <c r="C5" s="73"/>
      <c r="D5" s="58" t="s">
        <v>105</v>
      </c>
    </row>
    <row r="6" spans="2:12" x14ac:dyDescent="0.25">
      <c r="B6" s="69">
        <v>1</v>
      </c>
      <c r="C6" s="69" t="s">
        <v>5</v>
      </c>
      <c r="D6" s="69"/>
    </row>
    <row r="7" spans="2:12" x14ac:dyDescent="0.25">
      <c r="B7" s="69"/>
      <c r="C7" s="38" t="s">
        <v>6</v>
      </c>
      <c r="D7" s="39">
        <v>120</v>
      </c>
    </row>
    <row r="8" spans="2:12" x14ac:dyDescent="0.25">
      <c r="B8" s="69"/>
      <c r="C8" s="38" t="s">
        <v>7</v>
      </c>
      <c r="D8" s="39">
        <v>105</v>
      </c>
    </row>
    <row r="9" spans="2:12" ht="29.1" x14ac:dyDescent="0.35">
      <c r="B9" s="40">
        <v>2</v>
      </c>
      <c r="C9" s="38" t="s">
        <v>8</v>
      </c>
      <c r="D9" s="39">
        <v>95</v>
      </c>
    </row>
    <row r="10" spans="2:12" x14ac:dyDescent="0.25">
      <c r="B10" s="40">
        <v>3</v>
      </c>
      <c r="C10" s="69" t="s">
        <v>9</v>
      </c>
      <c r="D10" s="69"/>
    </row>
    <row r="11" spans="2:12" x14ac:dyDescent="0.25">
      <c r="B11" s="69">
        <v>4</v>
      </c>
      <c r="C11" s="38" t="s">
        <v>10</v>
      </c>
      <c r="D11" s="39">
        <v>390</v>
      </c>
    </row>
    <row r="12" spans="2:12" x14ac:dyDescent="0.25">
      <c r="B12" s="69"/>
      <c r="C12" s="38" t="s">
        <v>11</v>
      </c>
      <c r="D12" s="39">
        <v>65</v>
      </c>
    </row>
    <row r="13" spans="2:12" ht="30" x14ac:dyDescent="0.25">
      <c r="B13" s="69">
        <v>5</v>
      </c>
      <c r="C13" s="38" t="s">
        <v>12</v>
      </c>
      <c r="D13" s="70">
        <v>110</v>
      </c>
    </row>
    <row r="14" spans="2:12" x14ac:dyDescent="0.25">
      <c r="B14" s="69"/>
      <c r="C14" s="38" t="s">
        <v>13</v>
      </c>
      <c r="D14" s="70"/>
    </row>
    <row r="17" spans="2:4" ht="45" x14ac:dyDescent="0.25">
      <c r="B17" s="41" t="s">
        <v>107</v>
      </c>
      <c r="C17" s="4">
        <f>PRODUCT(57.7,18055)</f>
        <v>1041773.5</v>
      </c>
      <c r="D17" s="3" t="s">
        <v>14</v>
      </c>
    </row>
    <row r="18" spans="2:4" ht="30" x14ac:dyDescent="0.25">
      <c r="B18" s="42" t="s">
        <v>108</v>
      </c>
      <c r="C18" s="67">
        <v>18055</v>
      </c>
      <c r="D18" s="3" t="s">
        <v>16</v>
      </c>
    </row>
    <row r="19" spans="2:4" ht="45" x14ac:dyDescent="0.25">
      <c r="B19" s="42" t="s">
        <v>109</v>
      </c>
      <c r="C19" s="9">
        <v>130.6</v>
      </c>
      <c r="D19" s="3" t="s">
        <v>14</v>
      </c>
    </row>
    <row r="20" spans="2:4" ht="45" x14ac:dyDescent="0.25">
      <c r="B20" s="41" t="s">
        <v>110</v>
      </c>
      <c r="C20" s="4">
        <f>C17*D7/1000</f>
        <v>125012.82</v>
      </c>
      <c r="D20" s="4" t="s">
        <v>15</v>
      </c>
    </row>
    <row r="22" spans="2:4" x14ac:dyDescent="0.25">
      <c r="B22" s="72" t="s">
        <v>95</v>
      </c>
      <c r="C22" s="72"/>
      <c r="D22" s="72"/>
    </row>
  </sheetData>
  <mergeCells count="10">
    <mergeCell ref="B11:B12"/>
    <mergeCell ref="B13:B14"/>
    <mergeCell ref="D13:D14"/>
    <mergeCell ref="B2:D2"/>
    <mergeCell ref="B22:D22"/>
    <mergeCell ref="B4:B5"/>
    <mergeCell ref="C4:C5"/>
    <mergeCell ref="B6:B8"/>
    <mergeCell ref="C6:D6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showGridLines="0" view="pageBreakPreview" zoomScale="60" zoomScaleNormal="100" workbookViewId="0">
      <selection activeCell="C16" sqref="C16:C17"/>
    </sheetView>
  </sheetViews>
  <sheetFormatPr defaultColWidth="9.140625" defaultRowHeight="15" x14ac:dyDescent="0.25"/>
  <cols>
    <col min="1" max="2" width="9.140625" style="1"/>
    <col min="3" max="4" width="50.85546875" style="1" customWidth="1"/>
    <col min="5" max="16384" width="9.140625" style="1"/>
  </cols>
  <sheetData>
    <row r="2" spans="2:4" x14ac:dyDescent="0.25">
      <c r="B2" s="74" t="s">
        <v>17</v>
      </c>
      <c r="C2" s="73" t="s">
        <v>18</v>
      </c>
      <c r="D2" s="58" t="s">
        <v>19</v>
      </c>
    </row>
    <row r="3" spans="2:4" ht="17.25" x14ac:dyDescent="0.25">
      <c r="B3" s="74"/>
      <c r="C3" s="73"/>
      <c r="D3" s="58" t="s">
        <v>104</v>
      </c>
    </row>
    <row r="4" spans="2:4" x14ac:dyDescent="0.25">
      <c r="B4" s="3" t="s">
        <v>20</v>
      </c>
      <c r="C4" s="4" t="s">
        <v>21</v>
      </c>
      <c r="D4" s="3">
        <v>0.47239999999999999</v>
      </c>
    </row>
    <row r="5" spans="2:4" x14ac:dyDescent="0.25">
      <c r="B5" s="3" t="s">
        <v>22</v>
      </c>
      <c r="C5" s="4" t="s">
        <v>23</v>
      </c>
      <c r="D5" s="3">
        <v>0.47239999999999999</v>
      </c>
    </row>
    <row r="6" spans="2:4" ht="30" x14ac:dyDescent="0.25">
      <c r="B6" s="3" t="s">
        <v>24</v>
      </c>
      <c r="C6" s="4" t="s">
        <v>25</v>
      </c>
      <c r="D6" s="3">
        <v>2.8199999999999999E-2</v>
      </c>
    </row>
    <row r="7" spans="2:4" ht="30" x14ac:dyDescent="0.25">
      <c r="B7" s="3" t="s">
        <v>26</v>
      </c>
      <c r="C7" s="4" t="s">
        <v>27</v>
      </c>
      <c r="D7" s="3">
        <v>0.1918</v>
      </c>
    </row>
    <row r="8" spans="2:4" ht="30" x14ac:dyDescent="0.25">
      <c r="B8" s="3" t="s">
        <v>28</v>
      </c>
      <c r="C8" s="4" t="s">
        <v>29</v>
      </c>
      <c r="D8" s="3">
        <v>0.1918</v>
      </c>
    </row>
    <row r="9" spans="2:4" ht="30" x14ac:dyDescent="0.25">
      <c r="B9" s="3" t="s">
        <v>30</v>
      </c>
      <c r="C9" s="4" t="s">
        <v>31</v>
      </c>
      <c r="D9" s="3">
        <v>0.3836</v>
      </c>
    </row>
    <row r="10" spans="2:4" x14ac:dyDescent="0.25">
      <c r="B10" s="3" t="s">
        <v>32</v>
      </c>
      <c r="C10" s="4" t="s">
        <v>33</v>
      </c>
      <c r="D10" s="3">
        <v>0.4718</v>
      </c>
    </row>
    <row r="11" spans="2:4" x14ac:dyDescent="0.25">
      <c r="B11" s="3" t="s">
        <v>34</v>
      </c>
      <c r="C11" s="4" t="s">
        <v>35</v>
      </c>
      <c r="D11" s="3">
        <v>0.46810000000000002</v>
      </c>
    </row>
    <row r="12" spans="2:4" x14ac:dyDescent="0.25">
      <c r="B12" s="3" t="s">
        <v>36</v>
      </c>
      <c r="C12" s="4" t="s">
        <v>37</v>
      </c>
      <c r="D12" s="3">
        <v>0.47239999999999999</v>
      </c>
    </row>
    <row r="13" spans="2:4" x14ac:dyDescent="0.25">
      <c r="B13" s="3" t="s">
        <v>38</v>
      </c>
      <c r="C13" s="4" t="s">
        <v>39</v>
      </c>
      <c r="D13" s="3">
        <v>3.6400000000000002E-2</v>
      </c>
    </row>
    <row r="14" spans="2:4" ht="14.45" x14ac:dyDescent="0.35">
      <c r="B14" s="3" t="s">
        <v>40</v>
      </c>
      <c r="C14" s="4" t="s">
        <v>41</v>
      </c>
      <c r="D14" s="3">
        <v>0.14169999999999999</v>
      </c>
    </row>
    <row r="16" spans="2:4" x14ac:dyDescent="0.25">
      <c r="B16" s="75" t="s">
        <v>17</v>
      </c>
      <c r="C16" s="76" t="s">
        <v>18</v>
      </c>
      <c r="D16" s="34" t="s">
        <v>42</v>
      </c>
    </row>
    <row r="17" spans="2:4" ht="17.25" x14ac:dyDescent="0.25">
      <c r="B17" s="75"/>
      <c r="C17" s="76"/>
      <c r="D17" s="34" t="s">
        <v>104</v>
      </c>
    </row>
    <row r="18" spans="2:4" x14ac:dyDescent="0.25">
      <c r="B18" s="3" t="s">
        <v>20</v>
      </c>
      <c r="C18" s="4" t="s">
        <v>21</v>
      </c>
      <c r="D18" s="3">
        <v>0.46529999999999999</v>
      </c>
    </row>
    <row r="19" spans="2:4" x14ac:dyDescent="0.25">
      <c r="B19" s="3" t="s">
        <v>22</v>
      </c>
      <c r="C19" s="4" t="s">
        <v>23</v>
      </c>
      <c r="D19" s="3">
        <v>0.46529999999999999</v>
      </c>
    </row>
    <row r="20" spans="2:4" ht="30" x14ac:dyDescent="0.25">
      <c r="B20" s="3" t="s">
        <v>24</v>
      </c>
      <c r="C20" s="4" t="s">
        <v>25</v>
      </c>
      <c r="D20" s="3">
        <v>4.4400000000000002E-2</v>
      </c>
    </row>
    <row r="21" spans="2:4" ht="30" x14ac:dyDescent="0.25">
      <c r="B21" s="3" t="s">
        <v>26</v>
      </c>
      <c r="C21" s="4" t="s">
        <v>27</v>
      </c>
      <c r="D21" s="3">
        <v>0.20810000000000001</v>
      </c>
    </row>
    <row r="22" spans="2:4" ht="30" x14ac:dyDescent="0.25">
      <c r="B22" s="3" t="s">
        <v>28</v>
      </c>
      <c r="C22" s="4" t="s">
        <v>29</v>
      </c>
      <c r="D22" s="3">
        <v>0.1847</v>
      </c>
    </row>
    <row r="23" spans="2:4" ht="30" x14ac:dyDescent="0.25">
      <c r="B23" s="3" t="s">
        <v>30</v>
      </c>
      <c r="C23" s="4" t="s">
        <v>31</v>
      </c>
      <c r="D23" s="3">
        <v>0.37640000000000001</v>
      </c>
    </row>
    <row r="24" spans="2:4" x14ac:dyDescent="0.25">
      <c r="B24" s="3" t="s">
        <v>32</v>
      </c>
      <c r="C24" s="4" t="s">
        <v>33</v>
      </c>
      <c r="D24" s="3">
        <v>0.4647</v>
      </c>
    </row>
    <row r="25" spans="2:4" x14ac:dyDescent="0.25">
      <c r="B25" s="3" t="s">
        <v>34</v>
      </c>
      <c r="C25" s="4" t="s">
        <v>35</v>
      </c>
      <c r="D25" s="3">
        <v>0.46089999999999998</v>
      </c>
    </row>
    <row r="26" spans="2:4" x14ac:dyDescent="0.25">
      <c r="B26" s="3" t="s">
        <v>36</v>
      </c>
      <c r="C26" s="4" t="s">
        <v>37</v>
      </c>
      <c r="D26" s="3">
        <v>0.46529999999999999</v>
      </c>
    </row>
    <row r="27" spans="2:4" x14ac:dyDescent="0.25">
      <c r="B27" s="3" t="s">
        <v>38</v>
      </c>
      <c r="C27" s="4" t="s">
        <v>39</v>
      </c>
      <c r="D27" s="3">
        <v>3.5799999999999998E-2</v>
      </c>
    </row>
    <row r="28" spans="2:4" ht="14.45" x14ac:dyDescent="0.35">
      <c r="B28" s="3" t="s">
        <v>40</v>
      </c>
      <c r="C28" s="4" t="s">
        <v>41</v>
      </c>
      <c r="D28" s="3">
        <v>0.13950000000000001</v>
      </c>
    </row>
  </sheetData>
  <mergeCells count="4">
    <mergeCell ref="B2:B3"/>
    <mergeCell ref="C2:C3"/>
    <mergeCell ref="B16:B17"/>
    <mergeCell ref="C16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showGridLines="0" view="pageBreakPreview" topLeftCell="A2" zoomScale="89" zoomScaleNormal="100" zoomScaleSheetLayoutView="89" workbookViewId="0">
      <selection activeCell="E12" sqref="E12"/>
    </sheetView>
  </sheetViews>
  <sheetFormatPr defaultColWidth="9.140625" defaultRowHeight="15" x14ac:dyDescent="0.25"/>
  <cols>
    <col min="1" max="1" width="9.140625" style="11"/>
    <col min="2" max="2" width="9.140625" style="13"/>
    <col min="3" max="3" width="54.140625" style="13" customWidth="1"/>
    <col min="4" max="9" width="9.140625" style="13"/>
    <col min="10" max="10" width="9.140625" style="14"/>
    <col min="11" max="16384" width="9.140625" style="11"/>
  </cols>
  <sheetData>
    <row r="2" spans="2:10" ht="28.5" customHeight="1" x14ac:dyDescent="0.25">
      <c r="B2" s="77" t="s">
        <v>17</v>
      </c>
      <c r="C2" s="77" t="s">
        <v>98</v>
      </c>
      <c r="D2" s="59">
        <v>2019</v>
      </c>
      <c r="E2" s="59">
        <v>2020</v>
      </c>
      <c r="F2" s="59">
        <v>2021</v>
      </c>
      <c r="G2" s="59">
        <v>2022</v>
      </c>
      <c r="H2" s="59">
        <v>2023</v>
      </c>
      <c r="I2" s="59">
        <v>2024</v>
      </c>
      <c r="J2" s="60" t="s">
        <v>0</v>
      </c>
    </row>
    <row r="3" spans="2:10" x14ac:dyDescent="0.25">
      <c r="B3" s="77"/>
      <c r="C3" s="77"/>
      <c r="D3" s="59" t="s">
        <v>99</v>
      </c>
      <c r="E3" s="59" t="s">
        <v>99</v>
      </c>
      <c r="F3" s="59" t="s">
        <v>99</v>
      </c>
      <c r="G3" s="59" t="s">
        <v>99</v>
      </c>
      <c r="H3" s="59" t="s">
        <v>99</v>
      </c>
      <c r="I3" s="59" t="s">
        <v>99</v>
      </c>
      <c r="J3" s="61" t="s">
        <v>99</v>
      </c>
    </row>
    <row r="4" spans="2:10" x14ac:dyDescent="0.25">
      <c r="B4" s="12">
        <v>1</v>
      </c>
      <c r="C4" s="12" t="str">
        <f>'Efekt ekologiczny '!C3</f>
        <v>Podłączenie lokalu do sieci cieplnej</v>
      </c>
      <c r="D4" s="12">
        <v>51</v>
      </c>
      <c r="E4" s="12">
        <v>61</v>
      </c>
      <c r="F4" s="12">
        <v>100</v>
      </c>
      <c r="G4" s="12">
        <v>120</v>
      </c>
      <c r="H4" s="12">
        <v>100</v>
      </c>
      <c r="I4" s="12">
        <v>100</v>
      </c>
      <c r="J4" s="33">
        <f>SUM(D4:I4)</f>
        <v>532</v>
      </c>
    </row>
    <row r="5" spans="2:10" x14ac:dyDescent="0.25">
      <c r="B5" s="12">
        <v>2</v>
      </c>
      <c r="C5" s="12" t="str">
        <f>'Efekt ekologiczny '!C4</f>
        <v>Wymiana ogrzewania węglowego na elektryczne</v>
      </c>
      <c r="D5" s="12">
        <v>10</v>
      </c>
      <c r="E5" s="12">
        <v>20</v>
      </c>
      <c r="F5" s="12">
        <v>25</v>
      </c>
      <c r="G5" s="12">
        <v>25</v>
      </c>
      <c r="H5" s="12">
        <v>20</v>
      </c>
      <c r="I5" s="12">
        <v>15</v>
      </c>
      <c r="J5" s="33">
        <f t="shared" ref="J5:J14" si="0">SUM(D5:I5)</f>
        <v>115</v>
      </c>
    </row>
    <row r="6" spans="2:10" ht="30" x14ac:dyDescent="0.25">
      <c r="B6" s="12">
        <v>3</v>
      </c>
      <c r="C6" s="12" t="str">
        <f>'Efekt ekologiczny '!C5</f>
        <v>Wymiana starych kotłów węglowych na nowe zasilane ręcznie</v>
      </c>
      <c r="D6" s="12">
        <v>40</v>
      </c>
      <c r="E6" s="12">
        <v>30</v>
      </c>
      <c r="F6" s="12">
        <v>25</v>
      </c>
      <c r="G6" s="12">
        <v>20</v>
      </c>
      <c r="H6" s="12">
        <v>15</v>
      </c>
      <c r="I6" s="12">
        <v>10</v>
      </c>
      <c r="J6" s="33">
        <f t="shared" si="0"/>
        <v>140</v>
      </c>
    </row>
    <row r="7" spans="2:10" ht="30" x14ac:dyDescent="0.25">
      <c r="B7" s="12">
        <v>4</v>
      </c>
      <c r="C7" s="12" t="str">
        <f>'Efekt ekologiczny '!C6</f>
        <v>Wymiana starych kotłów węglowych na nowe zasilane automatycznie</v>
      </c>
      <c r="D7" s="12">
        <v>110</v>
      </c>
      <c r="E7" s="12">
        <v>100</v>
      </c>
      <c r="F7" s="12">
        <v>110</v>
      </c>
      <c r="G7" s="12">
        <v>120</v>
      </c>
      <c r="H7" s="12">
        <v>100</v>
      </c>
      <c r="I7" s="12">
        <v>100</v>
      </c>
      <c r="J7" s="33">
        <f t="shared" si="0"/>
        <v>640</v>
      </c>
    </row>
    <row r="8" spans="2:10" ht="30" x14ac:dyDescent="0.25">
      <c r="B8" s="12">
        <v>5</v>
      </c>
      <c r="C8" s="12" t="str">
        <f>'Efekt ekologiczny '!C7</f>
        <v>Wymiana kotłów węglowych na kotły na biomasę zasilane automatycznie</v>
      </c>
      <c r="D8" s="12">
        <v>20</v>
      </c>
      <c r="E8" s="12">
        <v>15</v>
      </c>
      <c r="F8" s="12">
        <v>15</v>
      </c>
      <c r="G8" s="12">
        <v>10</v>
      </c>
      <c r="H8" s="12">
        <v>10</v>
      </c>
      <c r="I8" s="12">
        <v>10</v>
      </c>
      <c r="J8" s="33">
        <f t="shared" si="0"/>
        <v>80</v>
      </c>
    </row>
    <row r="9" spans="2:10" ht="30" x14ac:dyDescent="0.25">
      <c r="B9" s="12">
        <v>6</v>
      </c>
      <c r="C9" s="12" t="str">
        <f>'Efekt ekologiczny '!C8</f>
        <v>Wymiana kotłów węglowych na kotły na pelety zasilane automatycznie</v>
      </c>
      <c r="D9" s="12">
        <v>35</v>
      </c>
      <c r="E9" s="12">
        <v>25</v>
      </c>
      <c r="F9" s="12">
        <v>20</v>
      </c>
      <c r="G9" s="12">
        <v>20</v>
      </c>
      <c r="H9" s="12">
        <v>10</v>
      </c>
      <c r="I9" s="12">
        <v>10</v>
      </c>
      <c r="J9" s="33">
        <f t="shared" si="0"/>
        <v>120</v>
      </c>
    </row>
    <row r="10" spans="2:10" x14ac:dyDescent="0.25">
      <c r="B10" s="12">
        <v>7</v>
      </c>
      <c r="C10" s="12" t="str">
        <f>'Efekt ekologiczny '!C9</f>
        <v>Wymiana ogrzewania węglowego na gazowe</v>
      </c>
      <c r="D10" s="12">
        <v>150</v>
      </c>
      <c r="E10" s="12">
        <v>150</v>
      </c>
      <c r="F10" s="12">
        <v>90</v>
      </c>
      <c r="G10" s="12">
        <v>80</v>
      </c>
      <c r="H10" s="12">
        <v>150</v>
      </c>
      <c r="I10" s="12">
        <v>150</v>
      </c>
      <c r="J10" s="33">
        <f t="shared" si="0"/>
        <v>770</v>
      </c>
    </row>
    <row r="11" spans="2:10" x14ac:dyDescent="0.25">
      <c r="B11" s="12">
        <v>8</v>
      </c>
      <c r="C11" s="12" t="str">
        <f>'Efekt ekologiczny '!C10</f>
        <v>Wymiana ogrzewania węglowego na olejowe</v>
      </c>
      <c r="D11" s="12">
        <v>15</v>
      </c>
      <c r="E11" s="12">
        <v>15</v>
      </c>
      <c r="F11" s="12">
        <v>15</v>
      </c>
      <c r="G11" s="12">
        <v>15</v>
      </c>
      <c r="H11" s="12">
        <v>15</v>
      </c>
      <c r="I11" s="12">
        <v>15</v>
      </c>
      <c r="J11" s="33">
        <f t="shared" si="0"/>
        <v>90</v>
      </c>
    </row>
    <row r="12" spans="2:10" x14ac:dyDescent="0.25">
      <c r="B12" s="12">
        <v>9</v>
      </c>
      <c r="C12" s="12" t="str">
        <f>'Efekt ekologiczny '!C11</f>
        <v>Wymiana ogrzewania węglowego na pompę ciepła</v>
      </c>
      <c r="D12" s="12">
        <v>15</v>
      </c>
      <c r="E12" s="12">
        <v>15</v>
      </c>
      <c r="F12" s="12">
        <v>16</v>
      </c>
      <c r="G12" s="12">
        <v>16</v>
      </c>
      <c r="H12" s="12">
        <v>15</v>
      </c>
      <c r="I12" s="12">
        <v>15</v>
      </c>
      <c r="J12" s="33">
        <f t="shared" si="0"/>
        <v>92</v>
      </c>
    </row>
    <row r="13" spans="2:10" x14ac:dyDescent="0.25">
      <c r="B13" s="12">
        <v>10</v>
      </c>
      <c r="C13" s="12" t="str">
        <f>'Efekt ekologiczny '!C12</f>
        <v>Zastosowanie kolektorów słonecznych</v>
      </c>
      <c r="D13" s="12">
        <v>50</v>
      </c>
      <c r="E13" s="12">
        <v>55</v>
      </c>
      <c r="F13" s="12">
        <v>60</v>
      </c>
      <c r="G13" s="12">
        <v>50</v>
      </c>
      <c r="H13" s="12">
        <v>45</v>
      </c>
      <c r="I13" s="12">
        <v>55</v>
      </c>
      <c r="J13" s="33">
        <f t="shared" si="0"/>
        <v>315</v>
      </c>
    </row>
    <row r="14" spans="2:10" ht="14.45" x14ac:dyDescent="0.35">
      <c r="B14" s="12">
        <v>11</v>
      </c>
      <c r="C14" s="12" t="str">
        <f>'Efekt ekologiczny '!C13</f>
        <v>Termomodernizacja</v>
      </c>
      <c r="D14" s="12">
        <v>50</v>
      </c>
      <c r="E14" s="12">
        <v>60</v>
      </c>
      <c r="F14" s="12">
        <v>70</v>
      </c>
      <c r="G14" s="12">
        <v>71</v>
      </c>
      <c r="H14" s="12">
        <v>61</v>
      </c>
      <c r="I14" s="12">
        <v>61</v>
      </c>
      <c r="J14" s="33">
        <f t="shared" si="0"/>
        <v>373</v>
      </c>
    </row>
    <row r="15" spans="2:10" ht="14.45" x14ac:dyDescent="0.35">
      <c r="B15" s="78" t="s">
        <v>0</v>
      </c>
      <c r="C15" s="78"/>
      <c r="D15" s="60">
        <f>SUM(D4:D14)</f>
        <v>546</v>
      </c>
      <c r="E15" s="60">
        <f t="shared" ref="E15:J15" si="1">SUM(E4:E14)</f>
        <v>546</v>
      </c>
      <c r="F15" s="60">
        <f t="shared" si="1"/>
        <v>546</v>
      </c>
      <c r="G15" s="60">
        <f t="shared" si="1"/>
        <v>547</v>
      </c>
      <c r="H15" s="60">
        <f t="shared" si="1"/>
        <v>541</v>
      </c>
      <c r="I15" s="60">
        <f t="shared" si="1"/>
        <v>541</v>
      </c>
      <c r="J15" s="60">
        <f t="shared" si="1"/>
        <v>3267</v>
      </c>
    </row>
  </sheetData>
  <mergeCells count="3">
    <mergeCell ref="B2:B3"/>
    <mergeCell ref="C2:C3"/>
    <mergeCell ref="B15:C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view="pageBreakPreview" topLeftCell="A5" zoomScale="60" zoomScaleNormal="80" workbookViewId="0">
      <selection activeCell="B2" sqref="B2:G14"/>
    </sheetView>
  </sheetViews>
  <sheetFormatPr defaultColWidth="9.140625" defaultRowHeight="15" x14ac:dyDescent="0.25"/>
  <cols>
    <col min="1" max="2" width="9.140625" style="6"/>
    <col min="3" max="3" width="38.28515625" style="10" customWidth="1"/>
    <col min="4" max="4" width="30.7109375" style="8" customWidth="1"/>
    <col min="5" max="7" width="27.28515625" style="8" customWidth="1"/>
    <col min="8" max="16384" width="9.140625" style="6"/>
  </cols>
  <sheetData>
    <row r="2" spans="2:7" ht="30" x14ac:dyDescent="0.25">
      <c r="B2" s="62" t="s">
        <v>58</v>
      </c>
      <c r="C2" s="62" t="s">
        <v>43</v>
      </c>
      <c r="D2" s="58" t="s">
        <v>59</v>
      </c>
      <c r="E2" s="58" t="s">
        <v>60</v>
      </c>
      <c r="F2" s="58" t="s">
        <v>96</v>
      </c>
      <c r="G2" s="58" t="s">
        <v>97</v>
      </c>
    </row>
    <row r="3" spans="2:7" x14ac:dyDescent="0.25">
      <c r="B3" s="3">
        <v>1</v>
      </c>
      <c r="C3" s="7" t="s">
        <v>46</v>
      </c>
      <c r="D3" s="9">
        <f>'Założenia do obliczeń'!$C$19</f>
        <v>130.6</v>
      </c>
      <c r="E3" s="4">
        <f>'Efekt rzeczowy'!J4</f>
        <v>532</v>
      </c>
      <c r="F3" s="9">
        <f>D3*E3*'Wskaźniki emisji'!D4/1000</f>
        <v>32.821974079999997</v>
      </c>
      <c r="G3" s="9">
        <f>D3*E3*'Wskaźniki emisji'!D18/1000</f>
        <v>32.328671759999999</v>
      </c>
    </row>
    <row r="4" spans="2:7" ht="30" x14ac:dyDescent="0.25">
      <c r="B4" s="3">
        <v>2</v>
      </c>
      <c r="C4" s="7" t="s">
        <v>47</v>
      </c>
      <c r="D4" s="9">
        <f>'Założenia do obliczeń'!$C$19</f>
        <v>130.6</v>
      </c>
      <c r="E4" s="4">
        <f>'Efekt rzeczowy'!J5</f>
        <v>115</v>
      </c>
      <c r="F4" s="9">
        <f>D4*E4*'Wskaźniki emisji'!D5/1000</f>
        <v>7.0949755999999997</v>
      </c>
      <c r="G4" s="9">
        <f>D4*E4*'Wskaźniki emisji'!D19/1000</f>
        <v>6.9883407000000002</v>
      </c>
    </row>
    <row r="5" spans="2:7" ht="30" x14ac:dyDescent="0.25">
      <c r="B5" s="3">
        <v>3</v>
      </c>
      <c r="C5" s="7" t="s">
        <v>48</v>
      </c>
      <c r="D5" s="9">
        <f>'Założenia do obliczeń'!$C$19</f>
        <v>130.6</v>
      </c>
      <c r="E5" s="4">
        <f>'Efekt rzeczowy'!J6</f>
        <v>140</v>
      </c>
      <c r="F5" s="9">
        <f>D5*E5*'Wskaźniki emisji'!D6/1000</f>
        <v>0.51560879999999998</v>
      </c>
      <c r="G5" s="9">
        <f>D5*E5*'Wskaźniki emisji'!D20/1000</f>
        <v>0.81180960000000002</v>
      </c>
    </row>
    <row r="6" spans="2:7" ht="30" x14ac:dyDescent="0.25">
      <c r="B6" s="3">
        <v>4</v>
      </c>
      <c r="C6" s="7" t="s">
        <v>49</v>
      </c>
      <c r="D6" s="9">
        <f>'Założenia do obliczeń'!$C$19</f>
        <v>130.6</v>
      </c>
      <c r="E6" s="4">
        <f>'Efekt rzeczowy'!J7</f>
        <v>640</v>
      </c>
      <c r="F6" s="9">
        <f>D6*E6*'Wskaźniki emisji'!D7/1000</f>
        <v>16.031411200000001</v>
      </c>
      <c r="G6" s="9">
        <f>D6*E6*'Wskaźniki emisji'!D21/1000</f>
        <v>17.393830399999999</v>
      </c>
    </row>
    <row r="7" spans="2:7" ht="30" x14ac:dyDescent="0.25">
      <c r="B7" s="3">
        <v>5</v>
      </c>
      <c r="C7" s="7" t="s">
        <v>50</v>
      </c>
      <c r="D7" s="9">
        <f>'Założenia do obliczeń'!$C$19</f>
        <v>130.6</v>
      </c>
      <c r="E7" s="4">
        <f>'Efekt rzeczowy'!J8</f>
        <v>80</v>
      </c>
      <c r="F7" s="9">
        <f>D7*E7*'Wskaźniki emisji'!D8/1000</f>
        <v>2.0039264000000001</v>
      </c>
      <c r="G7" s="9">
        <f>D7*E7*'Wskaźniki emisji'!D22/1000</f>
        <v>1.9297455999999999</v>
      </c>
    </row>
    <row r="8" spans="2:7" ht="30" x14ac:dyDescent="0.25">
      <c r="B8" s="3">
        <v>6</v>
      </c>
      <c r="C8" s="7" t="s">
        <v>51</v>
      </c>
      <c r="D8" s="9">
        <f>'Założenia do obliczeń'!$C$19</f>
        <v>130.6</v>
      </c>
      <c r="E8" s="4">
        <f>'Efekt rzeczowy'!J9</f>
        <v>120</v>
      </c>
      <c r="F8" s="9">
        <f>D8*E8*'Wskaźniki emisji'!D9/1000</f>
        <v>6.0117792000000003</v>
      </c>
      <c r="G8" s="9">
        <f>D8*E8*'Wskaźniki emisji'!D23/1000</f>
        <v>5.8989408000000001</v>
      </c>
    </row>
    <row r="9" spans="2:7" ht="30" x14ac:dyDescent="0.25">
      <c r="B9" s="3">
        <v>7</v>
      </c>
      <c r="C9" s="7" t="s">
        <v>52</v>
      </c>
      <c r="D9" s="9">
        <f>'Założenia do obliczeń'!$C$19</f>
        <v>130.6</v>
      </c>
      <c r="E9" s="4">
        <f>'Efekt rzeczowy'!J10</f>
        <v>770</v>
      </c>
      <c r="F9" s="9">
        <f>D9*E9*'Wskaźniki emisji'!D10/1000</f>
        <v>47.445151599999996</v>
      </c>
      <c r="G9" s="9">
        <f>D9*E9*'Wskaźniki emisji'!D24/1000</f>
        <v>46.731161399999998</v>
      </c>
    </row>
    <row r="10" spans="2:7" ht="30" x14ac:dyDescent="0.25">
      <c r="B10" s="3">
        <v>8</v>
      </c>
      <c r="C10" s="7" t="s">
        <v>53</v>
      </c>
      <c r="D10" s="9">
        <f>'Założenia do obliczeń'!$C$19</f>
        <v>130.6</v>
      </c>
      <c r="E10" s="4">
        <f>'Efekt rzeczowy'!J11</f>
        <v>90</v>
      </c>
      <c r="F10" s="9">
        <f>D10*E10*'Wskaźniki emisji'!D11/1000</f>
        <v>5.5020474000000004</v>
      </c>
      <c r="G10" s="9">
        <f>D10*E10*'Wskaźniki emisji'!D25/1000</f>
        <v>5.4174185999999995</v>
      </c>
    </row>
    <row r="11" spans="2:7" ht="30" x14ac:dyDescent="0.25">
      <c r="B11" s="3">
        <v>9</v>
      </c>
      <c r="C11" s="7" t="s">
        <v>54</v>
      </c>
      <c r="D11" s="9">
        <f>'Założenia do obliczeń'!$C$19</f>
        <v>130.6</v>
      </c>
      <c r="E11" s="4">
        <f>'Efekt rzeczowy'!J12</f>
        <v>92</v>
      </c>
      <c r="F11" s="9">
        <f>D11*E11*'Wskaźniki emisji'!D12/1000</f>
        <v>5.6759804799999989</v>
      </c>
      <c r="G11" s="9">
        <f>D11*E11*'Wskaźniki emisji'!D26/1000</f>
        <v>5.5906725599999989</v>
      </c>
    </row>
    <row r="12" spans="2:7" x14ac:dyDescent="0.25">
      <c r="B12" s="3">
        <v>10</v>
      </c>
      <c r="C12" s="7" t="s">
        <v>55</v>
      </c>
      <c r="D12" s="9">
        <f>'Założenia do obliczeń'!$C$19</f>
        <v>130.6</v>
      </c>
      <c r="E12" s="4">
        <f>'Efekt rzeczowy'!J13</f>
        <v>315</v>
      </c>
      <c r="F12" s="9">
        <f>D12*E12*'Wskaźniki emisji'!D13/1000</f>
        <v>1.4974596000000002</v>
      </c>
      <c r="G12" s="9">
        <f>D12*E12*'Wskaźniki emisji'!D27/1000</f>
        <v>1.4727762</v>
      </c>
    </row>
    <row r="13" spans="2:7" ht="14.45" x14ac:dyDescent="0.35">
      <c r="B13" s="3">
        <v>11</v>
      </c>
      <c r="C13" s="7" t="s">
        <v>56</v>
      </c>
      <c r="D13" s="9">
        <f>'Założenia do obliczeń'!$C$19</f>
        <v>130.6</v>
      </c>
      <c r="E13" s="4">
        <f>'Efekt rzeczowy'!J14</f>
        <v>373</v>
      </c>
      <c r="F13" s="9">
        <f>D13*E13*'Wskaźniki emisji'!D14/1000</f>
        <v>6.9027454599999993</v>
      </c>
      <c r="G13" s="9">
        <f>D13*E13*'Wskaźniki emisji'!D28/1000</f>
        <v>6.7955750999999998</v>
      </c>
    </row>
    <row r="14" spans="2:7" ht="14.45" x14ac:dyDescent="0.35">
      <c r="B14" s="79" t="s">
        <v>0</v>
      </c>
      <c r="C14" s="80"/>
      <c r="D14" s="63"/>
      <c r="E14" s="58">
        <f>SUM(E3:E13)</f>
        <v>3267</v>
      </c>
      <c r="F14" s="64">
        <f>SUM(F3:F13)</f>
        <v>131.50305981999998</v>
      </c>
      <c r="G14" s="64">
        <f>SUM(G3:G13)</f>
        <v>131.35894271999999</v>
      </c>
    </row>
  </sheetData>
  <mergeCells count="1"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view="pageBreakPreview" topLeftCell="A6" zoomScale="60" zoomScaleNormal="90" workbookViewId="0">
      <selection activeCell="H19" sqref="H19"/>
    </sheetView>
  </sheetViews>
  <sheetFormatPr defaultColWidth="9.140625" defaultRowHeight="15" x14ac:dyDescent="0.25"/>
  <cols>
    <col min="1" max="1" width="5.42578125" style="26" customWidth="1"/>
    <col min="2" max="2" width="9.140625" style="26"/>
    <col min="3" max="3" width="32.42578125" style="27" customWidth="1"/>
    <col min="4" max="4" width="23.28515625" style="28" customWidth="1"/>
    <col min="5" max="5" width="18.7109375" style="28" customWidth="1"/>
    <col min="6" max="6" width="17.7109375" style="26" customWidth="1"/>
    <col min="7" max="7" width="27.5703125" style="26" customWidth="1"/>
    <col min="8" max="8" width="23.85546875" style="26" customWidth="1"/>
    <col min="9" max="9" width="22.85546875" style="26" customWidth="1"/>
    <col min="10" max="16384" width="9.140625" style="26"/>
  </cols>
  <sheetData>
    <row r="2" spans="2:9" ht="105" x14ac:dyDescent="0.25">
      <c r="B2" s="62" t="s">
        <v>58</v>
      </c>
      <c r="C2" s="58" t="s">
        <v>43</v>
      </c>
      <c r="D2" s="58" t="s">
        <v>59</v>
      </c>
      <c r="E2" s="58" t="s">
        <v>60</v>
      </c>
      <c r="F2" s="58" t="s">
        <v>100</v>
      </c>
      <c r="G2" s="58" t="s">
        <v>103</v>
      </c>
      <c r="H2" s="58" t="s">
        <v>101</v>
      </c>
      <c r="I2" s="58" t="s">
        <v>102</v>
      </c>
    </row>
    <row r="3" spans="2:9" x14ac:dyDescent="0.25">
      <c r="B3" s="3">
        <v>1</v>
      </c>
      <c r="C3" s="4" t="s">
        <v>46</v>
      </c>
      <c r="D3" s="9">
        <f>'Założenia do obliczeń'!$C$19</f>
        <v>130.6</v>
      </c>
      <c r="E3" s="4">
        <f>'Efekt rzeczowy'!J4</f>
        <v>532</v>
      </c>
      <c r="F3" s="3">
        <f>'Założenia do obliczeń'!$D$7</f>
        <v>120</v>
      </c>
      <c r="G3" s="15">
        <f>D3*E3*F3/1000</f>
        <v>8337.5040000000008</v>
      </c>
      <c r="H3" s="16">
        <v>0.15</v>
      </c>
      <c r="I3" s="15">
        <f>G3*H3</f>
        <v>1250.6256000000001</v>
      </c>
    </row>
    <row r="4" spans="2:9" ht="30" x14ac:dyDescent="0.25">
      <c r="B4" s="3">
        <v>2</v>
      </c>
      <c r="C4" s="4" t="s">
        <v>47</v>
      </c>
      <c r="D4" s="9">
        <f>'Założenia do obliczeń'!$C$19</f>
        <v>130.6</v>
      </c>
      <c r="E4" s="4">
        <f>'Efekt rzeczowy'!J5</f>
        <v>115</v>
      </c>
      <c r="F4" s="3">
        <f>'Założenia do obliczeń'!$D$7</f>
        <v>120</v>
      </c>
      <c r="G4" s="15">
        <f t="shared" ref="G4:G13" si="0">D4*E4*F4/1000</f>
        <v>1802.28</v>
      </c>
      <c r="H4" s="16">
        <v>0.2</v>
      </c>
      <c r="I4" s="15">
        <f t="shared" ref="I4:I13" si="1">G4*H4</f>
        <v>360.45600000000002</v>
      </c>
    </row>
    <row r="5" spans="2:9" ht="30" x14ac:dyDescent="0.25">
      <c r="B5" s="3">
        <v>3</v>
      </c>
      <c r="C5" s="4" t="s">
        <v>48</v>
      </c>
      <c r="D5" s="9">
        <f>'Założenia do obliczeń'!$C$19</f>
        <v>130.6</v>
      </c>
      <c r="E5" s="4">
        <f>'Efekt rzeczowy'!J6</f>
        <v>140</v>
      </c>
      <c r="F5" s="3">
        <f>'Założenia do obliczeń'!$D$7</f>
        <v>120</v>
      </c>
      <c r="G5" s="15">
        <f t="shared" si="0"/>
        <v>2194.08</v>
      </c>
      <c r="H5" s="16">
        <v>0.15</v>
      </c>
      <c r="I5" s="15">
        <f t="shared" si="1"/>
        <v>329.11199999999997</v>
      </c>
    </row>
    <row r="6" spans="2:9" ht="45" x14ac:dyDescent="0.25">
      <c r="B6" s="3">
        <v>4</v>
      </c>
      <c r="C6" s="4" t="s">
        <v>49</v>
      </c>
      <c r="D6" s="9">
        <f>'Założenia do obliczeń'!$C$19</f>
        <v>130.6</v>
      </c>
      <c r="E6" s="4">
        <f>'Efekt rzeczowy'!J7</f>
        <v>640</v>
      </c>
      <c r="F6" s="3">
        <f>'Założenia do obliczeń'!$D$7</f>
        <v>120</v>
      </c>
      <c r="G6" s="15">
        <f t="shared" si="0"/>
        <v>10030.08</v>
      </c>
      <c r="H6" s="16">
        <v>0.15</v>
      </c>
      <c r="I6" s="15">
        <f t="shared" si="1"/>
        <v>1504.5119999999999</v>
      </c>
    </row>
    <row r="7" spans="2:9" ht="45" x14ac:dyDescent="0.25">
      <c r="B7" s="3">
        <v>5</v>
      </c>
      <c r="C7" s="4" t="s">
        <v>50</v>
      </c>
      <c r="D7" s="9">
        <f>'Założenia do obliczeń'!$C$19</f>
        <v>130.6</v>
      </c>
      <c r="E7" s="4">
        <f>'Efekt rzeczowy'!J8</f>
        <v>80</v>
      </c>
      <c r="F7" s="3">
        <f>'Założenia do obliczeń'!$D$7</f>
        <v>120</v>
      </c>
      <c r="G7" s="15">
        <f t="shared" si="0"/>
        <v>1253.76</v>
      </c>
      <c r="H7" s="16">
        <v>0.15</v>
      </c>
      <c r="I7" s="15">
        <f t="shared" si="1"/>
        <v>188.06399999999999</v>
      </c>
    </row>
    <row r="8" spans="2:9" ht="45" x14ac:dyDescent="0.25">
      <c r="B8" s="3">
        <v>6</v>
      </c>
      <c r="C8" s="4" t="s">
        <v>51</v>
      </c>
      <c r="D8" s="9">
        <f>'Założenia do obliczeń'!$C$19</f>
        <v>130.6</v>
      </c>
      <c r="E8" s="4">
        <f>'Efekt rzeczowy'!J9</f>
        <v>120</v>
      </c>
      <c r="F8" s="3">
        <f>'Założenia do obliczeń'!$D$7</f>
        <v>120</v>
      </c>
      <c r="G8" s="15">
        <f t="shared" si="0"/>
        <v>1880.64</v>
      </c>
      <c r="H8" s="16">
        <v>0.15</v>
      </c>
      <c r="I8" s="15">
        <f t="shared" si="1"/>
        <v>282.096</v>
      </c>
    </row>
    <row r="9" spans="2:9" ht="30" x14ac:dyDescent="0.25">
      <c r="B9" s="3">
        <v>7</v>
      </c>
      <c r="C9" s="4" t="s">
        <v>52</v>
      </c>
      <c r="D9" s="9">
        <f>'Założenia do obliczeń'!$C$19</f>
        <v>130.6</v>
      </c>
      <c r="E9" s="4">
        <f>'Efekt rzeczowy'!J10</f>
        <v>770</v>
      </c>
      <c r="F9" s="3">
        <f>'Założenia do obliczeń'!$D$7</f>
        <v>120</v>
      </c>
      <c r="G9" s="15">
        <f t="shared" si="0"/>
        <v>12067.44</v>
      </c>
      <c r="H9" s="16">
        <v>0.15</v>
      </c>
      <c r="I9" s="15">
        <f t="shared" si="1"/>
        <v>1810.116</v>
      </c>
    </row>
    <row r="10" spans="2:9" ht="30" x14ac:dyDescent="0.25">
      <c r="B10" s="3">
        <v>8</v>
      </c>
      <c r="C10" s="4" t="s">
        <v>53</v>
      </c>
      <c r="D10" s="9">
        <f>'Założenia do obliczeń'!$C$19</f>
        <v>130.6</v>
      </c>
      <c r="E10" s="4">
        <f>'Efekt rzeczowy'!J11</f>
        <v>90</v>
      </c>
      <c r="F10" s="3">
        <f>'Założenia do obliczeń'!$D$7</f>
        <v>120</v>
      </c>
      <c r="G10" s="15">
        <f t="shared" si="0"/>
        <v>1410.48</v>
      </c>
      <c r="H10" s="16">
        <v>0.15</v>
      </c>
      <c r="I10" s="15">
        <f t="shared" si="1"/>
        <v>211.572</v>
      </c>
    </row>
    <row r="11" spans="2:9" ht="30" x14ac:dyDescent="0.25">
      <c r="B11" s="3">
        <v>9</v>
      </c>
      <c r="C11" s="4" t="s">
        <v>54</v>
      </c>
      <c r="D11" s="9">
        <f>'Założenia do obliczeń'!$C$19</f>
        <v>130.6</v>
      </c>
      <c r="E11" s="4">
        <f>'Efekt rzeczowy'!J12</f>
        <v>92</v>
      </c>
      <c r="F11" s="3">
        <f>'Założenia do obliczeń'!$D$7</f>
        <v>120</v>
      </c>
      <c r="G11" s="15">
        <f t="shared" si="0"/>
        <v>1441.8239999999998</v>
      </c>
      <c r="H11" s="16">
        <v>0.4</v>
      </c>
      <c r="I11" s="15">
        <f t="shared" si="1"/>
        <v>576.7296</v>
      </c>
    </row>
    <row r="12" spans="2:9" ht="30" x14ac:dyDescent="0.25">
      <c r="B12" s="3">
        <v>10</v>
      </c>
      <c r="C12" s="4" t="s">
        <v>55</v>
      </c>
      <c r="D12" s="9">
        <f>'Założenia do obliczeń'!$C$19</f>
        <v>130.6</v>
      </c>
      <c r="E12" s="4">
        <f>'Efekt rzeczowy'!J13</f>
        <v>315</v>
      </c>
      <c r="F12" s="3">
        <f>'Założenia do obliczeń'!$D$7</f>
        <v>120</v>
      </c>
      <c r="G12" s="15">
        <f t="shared" si="0"/>
        <v>4936.68</v>
      </c>
      <c r="H12" s="16">
        <v>0.15</v>
      </c>
      <c r="I12" s="15">
        <f t="shared" si="1"/>
        <v>740.50200000000007</v>
      </c>
    </row>
    <row r="13" spans="2:9" ht="14.45" x14ac:dyDescent="0.35">
      <c r="B13" s="3">
        <v>11</v>
      </c>
      <c r="C13" s="4" t="s">
        <v>56</v>
      </c>
      <c r="D13" s="9">
        <f>'Założenia do obliczeń'!$C$19</f>
        <v>130.6</v>
      </c>
      <c r="E13" s="4">
        <f>'Efekt rzeczowy'!J14</f>
        <v>373</v>
      </c>
      <c r="F13" s="3">
        <f>'Założenia do obliczeń'!$D$7</f>
        <v>120</v>
      </c>
      <c r="G13" s="15">
        <f t="shared" si="0"/>
        <v>5845.655999999999</v>
      </c>
      <c r="H13" s="16">
        <v>0.25</v>
      </c>
      <c r="I13" s="15">
        <f t="shared" si="1"/>
        <v>1461.4139999999998</v>
      </c>
    </row>
    <row r="14" spans="2:9" ht="14.45" x14ac:dyDescent="0.35">
      <c r="B14" s="81" t="s">
        <v>0</v>
      </c>
      <c r="C14" s="82"/>
      <c r="D14" s="32"/>
      <c r="E14" s="29">
        <f>SUM(E3:E13)</f>
        <v>3267</v>
      </c>
      <c r="F14" s="31"/>
      <c r="G14" s="30">
        <f>SUM(G3:G13)</f>
        <v>51200.423999999999</v>
      </c>
      <c r="H14" s="31"/>
      <c r="I14" s="30">
        <f>SUM(I3:I13)</f>
        <v>8715.1991999999991</v>
      </c>
    </row>
  </sheetData>
  <mergeCells count="1"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showGridLines="0" view="pageBreakPreview" topLeftCell="A12" zoomScale="59" zoomScaleNormal="80" zoomScaleSheetLayoutView="59" workbookViewId="0">
      <selection activeCell="H5" sqref="H5"/>
    </sheetView>
  </sheetViews>
  <sheetFormatPr defaultRowHeight="15" x14ac:dyDescent="0.25"/>
  <cols>
    <col min="2" max="2" width="9.140625" style="6"/>
    <col min="3" max="3" width="28.85546875" style="2" customWidth="1"/>
    <col min="4" max="4" width="15.42578125" style="2" customWidth="1"/>
    <col min="5" max="5" width="19.28515625" style="2" customWidth="1"/>
    <col min="6" max="12" width="24.42578125" style="2" customWidth="1"/>
    <col min="13" max="14" width="30.140625" style="2" customWidth="1"/>
  </cols>
  <sheetData>
    <row r="2" spans="2:12" ht="60" x14ac:dyDescent="0.25">
      <c r="B2" s="62" t="s">
        <v>17</v>
      </c>
      <c r="C2" s="58" t="s">
        <v>43</v>
      </c>
      <c r="D2" s="58" t="s">
        <v>57</v>
      </c>
      <c r="E2" s="58" t="s">
        <v>44</v>
      </c>
      <c r="F2" s="58">
        <v>2019</v>
      </c>
      <c r="G2" s="58">
        <v>2020</v>
      </c>
      <c r="H2" s="58">
        <v>2021</v>
      </c>
      <c r="I2" s="58">
        <v>2022</v>
      </c>
      <c r="J2" s="58">
        <v>2023</v>
      </c>
      <c r="K2" s="58">
        <v>2024</v>
      </c>
      <c r="L2" s="58" t="s">
        <v>45</v>
      </c>
    </row>
    <row r="3" spans="2:12" ht="30" x14ac:dyDescent="0.25">
      <c r="B3" s="3">
        <v>1</v>
      </c>
      <c r="C3" s="4" t="s">
        <v>46</v>
      </c>
      <c r="D3" s="4">
        <f>'Efekt rzeczowy'!J4</f>
        <v>532</v>
      </c>
      <c r="E3" s="5">
        <v>10000</v>
      </c>
      <c r="F3" s="5">
        <f>'Efekt rzeczowy'!D4*'Harmonogram rzeczowo-finansowy'!E3</f>
        <v>510000</v>
      </c>
      <c r="G3" s="5">
        <f>'Efekt rzeczowy'!E4*'Harmonogram rzeczowo-finansowy'!$E$3</f>
        <v>610000</v>
      </c>
      <c r="H3" s="5">
        <f>'Efekt rzeczowy'!F4*'Harmonogram rzeczowo-finansowy'!$E$4</f>
        <v>1000000</v>
      </c>
      <c r="I3" s="5">
        <f>'Efekt rzeczowy'!G4*'Harmonogram rzeczowo-finansowy'!$E$3</f>
        <v>1200000</v>
      </c>
      <c r="J3" s="5">
        <f>'Efekt rzeczowy'!H4*'Harmonogram rzeczowo-finansowy'!$E$3</f>
        <v>1000000</v>
      </c>
      <c r="K3" s="5">
        <f>'Efekt rzeczowy'!I4*'Harmonogram rzeczowo-finansowy'!$E$3</f>
        <v>1000000</v>
      </c>
      <c r="L3" s="5">
        <f>SUM(F3:K3)</f>
        <v>5320000</v>
      </c>
    </row>
    <row r="4" spans="2:12" ht="30" x14ac:dyDescent="0.25">
      <c r="B4" s="3">
        <v>2</v>
      </c>
      <c r="C4" s="4" t="s">
        <v>47</v>
      </c>
      <c r="D4" s="4">
        <f>'Efekt rzeczowy'!J5</f>
        <v>115</v>
      </c>
      <c r="E4" s="5">
        <v>10000</v>
      </c>
      <c r="F4" s="5">
        <f>'Efekt rzeczowy'!D5*'Harmonogram rzeczowo-finansowy'!$E$4</f>
        <v>100000</v>
      </c>
      <c r="G4" s="5">
        <f>'Efekt rzeczowy'!E5*'Harmonogram rzeczowo-finansowy'!$E$4</f>
        <v>200000</v>
      </c>
      <c r="H4" s="5">
        <f>'Efekt rzeczowy'!F5*'Harmonogram rzeczowo-finansowy'!$E$4</f>
        <v>250000</v>
      </c>
      <c r="I4" s="5">
        <f>'Efekt rzeczowy'!G5*'Harmonogram rzeczowo-finansowy'!$E$4</f>
        <v>250000</v>
      </c>
      <c r="J4" s="5">
        <f>'Efekt rzeczowy'!H5*'Harmonogram rzeczowo-finansowy'!$E$4</f>
        <v>200000</v>
      </c>
      <c r="K4" s="5">
        <f>'Efekt rzeczowy'!I5*'Harmonogram rzeczowo-finansowy'!$E$4</f>
        <v>150000</v>
      </c>
      <c r="L4" s="5">
        <f t="shared" ref="L4:L13" si="0">SUM(F4:K4)</f>
        <v>1150000</v>
      </c>
    </row>
    <row r="5" spans="2:12" ht="45" x14ac:dyDescent="0.25">
      <c r="B5" s="3">
        <v>3</v>
      </c>
      <c r="C5" s="4" t="s">
        <v>48</v>
      </c>
      <c r="D5" s="4">
        <f>'Efekt rzeczowy'!J6</f>
        <v>140</v>
      </c>
      <c r="E5" s="5">
        <v>10000</v>
      </c>
      <c r="F5" s="5">
        <f>'Efekt rzeczowy'!D6*'Harmonogram rzeczowo-finansowy'!$E$5</f>
        <v>400000</v>
      </c>
      <c r="G5" s="5">
        <f>'Efekt rzeczowy'!E6*'Harmonogram rzeczowo-finansowy'!$E$5</f>
        <v>300000</v>
      </c>
      <c r="H5" s="5">
        <f>'Efekt rzeczowy'!F6*'Harmonogram rzeczowo-finansowy'!$E$5</f>
        <v>250000</v>
      </c>
      <c r="I5" s="5">
        <f>'Efekt rzeczowy'!G6*'Harmonogram rzeczowo-finansowy'!$E$5</f>
        <v>200000</v>
      </c>
      <c r="J5" s="5">
        <f>'Efekt rzeczowy'!H6*'Harmonogram rzeczowo-finansowy'!$E$5</f>
        <v>150000</v>
      </c>
      <c r="K5" s="5">
        <f>'Efekt rzeczowy'!I6*'Harmonogram rzeczowo-finansowy'!$E$5</f>
        <v>100000</v>
      </c>
      <c r="L5" s="5">
        <f t="shared" si="0"/>
        <v>1400000</v>
      </c>
    </row>
    <row r="6" spans="2:12" ht="45" x14ac:dyDescent="0.25">
      <c r="B6" s="3">
        <v>4</v>
      </c>
      <c r="C6" s="4" t="s">
        <v>49</v>
      </c>
      <c r="D6" s="4">
        <f>'Efekt rzeczowy'!J7</f>
        <v>640</v>
      </c>
      <c r="E6" s="5">
        <v>12500</v>
      </c>
      <c r="F6" s="5">
        <f>'Efekt rzeczowy'!D7*'Harmonogram rzeczowo-finansowy'!$E$6</f>
        <v>1375000</v>
      </c>
      <c r="G6" s="5">
        <f>'Efekt rzeczowy'!E7*'Harmonogram rzeczowo-finansowy'!$E$6</f>
        <v>1250000</v>
      </c>
      <c r="H6" s="5">
        <f>'Efekt rzeczowy'!F7*'Harmonogram rzeczowo-finansowy'!$E$6</f>
        <v>1375000</v>
      </c>
      <c r="I6" s="5">
        <f>'Efekt rzeczowy'!G7*'Harmonogram rzeczowo-finansowy'!$E$6</f>
        <v>1500000</v>
      </c>
      <c r="J6" s="5">
        <f>'Efekt rzeczowy'!H7*'Harmonogram rzeczowo-finansowy'!$E$6</f>
        <v>1250000</v>
      </c>
      <c r="K6" s="5">
        <f>'Efekt rzeczowy'!I7*'Harmonogram rzeczowo-finansowy'!$E$6</f>
        <v>1250000</v>
      </c>
      <c r="L6" s="5">
        <f t="shared" si="0"/>
        <v>8000000</v>
      </c>
    </row>
    <row r="7" spans="2:12" ht="45" x14ac:dyDescent="0.25">
      <c r="B7" s="3">
        <v>5</v>
      </c>
      <c r="C7" s="4" t="s">
        <v>50</v>
      </c>
      <c r="D7" s="4">
        <f>'Efekt rzeczowy'!J8</f>
        <v>80</v>
      </c>
      <c r="E7" s="5">
        <v>12500</v>
      </c>
      <c r="F7" s="5">
        <f>'Efekt rzeczowy'!D8*'Harmonogram rzeczowo-finansowy'!$E$7</f>
        <v>250000</v>
      </c>
      <c r="G7" s="5">
        <f>'Efekt rzeczowy'!E8*'Harmonogram rzeczowo-finansowy'!$E$7</f>
        <v>187500</v>
      </c>
      <c r="H7" s="5">
        <f>'Efekt rzeczowy'!F8*'Harmonogram rzeczowo-finansowy'!$E$7</f>
        <v>187500</v>
      </c>
      <c r="I7" s="5">
        <f>'Efekt rzeczowy'!G8*'Harmonogram rzeczowo-finansowy'!$E$7</f>
        <v>125000</v>
      </c>
      <c r="J7" s="5">
        <f>'Efekt rzeczowy'!H8*'Harmonogram rzeczowo-finansowy'!$E$7</f>
        <v>125000</v>
      </c>
      <c r="K7" s="5">
        <f>'Efekt rzeczowy'!I8*'Harmonogram rzeczowo-finansowy'!$E$7</f>
        <v>125000</v>
      </c>
      <c r="L7" s="5">
        <f t="shared" si="0"/>
        <v>1000000</v>
      </c>
    </row>
    <row r="8" spans="2:12" ht="45" x14ac:dyDescent="0.25">
      <c r="B8" s="3">
        <v>6</v>
      </c>
      <c r="C8" s="4" t="s">
        <v>51</v>
      </c>
      <c r="D8" s="4">
        <f>'Efekt rzeczowy'!J9</f>
        <v>120</v>
      </c>
      <c r="E8" s="5">
        <v>12500</v>
      </c>
      <c r="F8" s="5">
        <f>'Efekt rzeczowy'!D9*'Harmonogram rzeczowo-finansowy'!$E$8</f>
        <v>437500</v>
      </c>
      <c r="G8" s="5">
        <f>'Efekt rzeczowy'!E9*'Harmonogram rzeczowo-finansowy'!$E$8</f>
        <v>312500</v>
      </c>
      <c r="H8" s="5">
        <f>'Efekt rzeczowy'!F9*'Harmonogram rzeczowo-finansowy'!$E$8</f>
        <v>250000</v>
      </c>
      <c r="I8" s="5">
        <f>'Efekt rzeczowy'!G9*'Harmonogram rzeczowo-finansowy'!$E$8</f>
        <v>250000</v>
      </c>
      <c r="J8" s="5">
        <f>'Efekt rzeczowy'!H9*'Harmonogram rzeczowo-finansowy'!$E$8</f>
        <v>125000</v>
      </c>
      <c r="K8" s="5">
        <f>'Efekt rzeczowy'!I9*'Harmonogram rzeczowo-finansowy'!$E$8</f>
        <v>125000</v>
      </c>
      <c r="L8" s="5">
        <f t="shared" si="0"/>
        <v>1500000</v>
      </c>
    </row>
    <row r="9" spans="2:12" ht="30" x14ac:dyDescent="0.25">
      <c r="B9" s="3">
        <v>7</v>
      </c>
      <c r="C9" s="4" t="s">
        <v>52</v>
      </c>
      <c r="D9" s="4">
        <f>'Efekt rzeczowy'!J10</f>
        <v>770</v>
      </c>
      <c r="E9" s="5">
        <v>15000</v>
      </c>
      <c r="F9" s="5">
        <f>'Efekt rzeczowy'!D10*'Harmonogram rzeczowo-finansowy'!$E$9</f>
        <v>2250000</v>
      </c>
      <c r="G9" s="5">
        <f>'Efekt rzeczowy'!E10*'Harmonogram rzeczowo-finansowy'!$E$9</f>
        <v>2250000</v>
      </c>
      <c r="H9" s="5">
        <f>'Efekt rzeczowy'!F10*'Harmonogram rzeczowo-finansowy'!$E$9</f>
        <v>1350000</v>
      </c>
      <c r="I9" s="5">
        <f>'Efekt rzeczowy'!G10*'Harmonogram rzeczowo-finansowy'!$E$9</f>
        <v>1200000</v>
      </c>
      <c r="J9" s="5">
        <f>'Efekt rzeczowy'!H10*'Harmonogram rzeczowo-finansowy'!$E$9</f>
        <v>2250000</v>
      </c>
      <c r="K9" s="5">
        <f>'Efekt rzeczowy'!I10*'Harmonogram rzeczowo-finansowy'!$E$9</f>
        <v>2250000</v>
      </c>
      <c r="L9" s="5">
        <f t="shared" si="0"/>
        <v>11550000</v>
      </c>
    </row>
    <row r="10" spans="2:12" ht="30" x14ac:dyDescent="0.25">
      <c r="B10" s="3">
        <v>8</v>
      </c>
      <c r="C10" s="4" t="s">
        <v>53</v>
      </c>
      <c r="D10" s="4">
        <f>'Efekt rzeczowy'!J11</f>
        <v>90</v>
      </c>
      <c r="E10" s="5">
        <v>15000</v>
      </c>
      <c r="F10" s="5">
        <f>'Efekt rzeczowy'!D11*'Harmonogram rzeczowo-finansowy'!$E$10</f>
        <v>225000</v>
      </c>
      <c r="G10" s="5">
        <f>'Efekt rzeczowy'!E11*'Harmonogram rzeczowo-finansowy'!$E$10</f>
        <v>225000</v>
      </c>
      <c r="H10" s="5">
        <f>'Efekt rzeczowy'!F11*'Harmonogram rzeczowo-finansowy'!$E$10</f>
        <v>225000</v>
      </c>
      <c r="I10" s="5">
        <f>'Efekt rzeczowy'!G11*'Harmonogram rzeczowo-finansowy'!$E$10</f>
        <v>225000</v>
      </c>
      <c r="J10" s="5">
        <f>'Efekt rzeczowy'!H11*'Harmonogram rzeczowo-finansowy'!$E$10</f>
        <v>225000</v>
      </c>
      <c r="K10" s="5">
        <f>'Efekt rzeczowy'!I11*'Harmonogram rzeczowo-finansowy'!$E$10</f>
        <v>225000</v>
      </c>
      <c r="L10" s="5">
        <f t="shared" si="0"/>
        <v>1350000</v>
      </c>
    </row>
    <row r="11" spans="2:12" ht="30" x14ac:dyDescent="0.25">
      <c r="B11" s="3">
        <v>9</v>
      </c>
      <c r="C11" s="4" t="s">
        <v>54</v>
      </c>
      <c r="D11" s="4">
        <f>'Efekt rzeczowy'!J12</f>
        <v>92</v>
      </c>
      <c r="E11" s="5">
        <v>30000</v>
      </c>
      <c r="F11" s="5">
        <f>'Efekt rzeczowy'!D12*'Harmonogram rzeczowo-finansowy'!$E$11</f>
        <v>450000</v>
      </c>
      <c r="G11" s="5">
        <f>'Efekt rzeczowy'!E12*'Harmonogram rzeczowo-finansowy'!$E$11</f>
        <v>450000</v>
      </c>
      <c r="H11" s="5">
        <f>'Efekt rzeczowy'!F12*'Harmonogram rzeczowo-finansowy'!$E$11</f>
        <v>480000</v>
      </c>
      <c r="I11" s="5">
        <f>'Efekt rzeczowy'!G12*'Harmonogram rzeczowo-finansowy'!$E$11</f>
        <v>480000</v>
      </c>
      <c r="J11" s="5">
        <f>'Efekt rzeczowy'!H12*'Harmonogram rzeczowo-finansowy'!$E$11</f>
        <v>450000</v>
      </c>
      <c r="K11" s="5">
        <f>'Efekt rzeczowy'!I12*'Harmonogram rzeczowo-finansowy'!$E$11</f>
        <v>450000</v>
      </c>
      <c r="L11" s="5">
        <f t="shared" si="0"/>
        <v>2760000</v>
      </c>
    </row>
    <row r="12" spans="2:12" ht="30" x14ac:dyDescent="0.25">
      <c r="B12" s="3">
        <v>10</v>
      </c>
      <c r="C12" s="4" t="s">
        <v>55</v>
      </c>
      <c r="D12" s="4">
        <f>'Efekt rzeczowy'!J13</f>
        <v>315</v>
      </c>
      <c r="E12" s="5">
        <v>8000</v>
      </c>
      <c r="F12" s="5">
        <f>'Efekt rzeczowy'!D13*'Harmonogram rzeczowo-finansowy'!$E$12</f>
        <v>400000</v>
      </c>
      <c r="G12" s="5">
        <f>'Efekt rzeczowy'!E13*'Harmonogram rzeczowo-finansowy'!$E$12</f>
        <v>440000</v>
      </c>
      <c r="H12" s="5">
        <f>'Efekt rzeczowy'!F13*'Harmonogram rzeczowo-finansowy'!$E$12</f>
        <v>480000</v>
      </c>
      <c r="I12" s="5">
        <f>'Efekt rzeczowy'!G13*'Harmonogram rzeczowo-finansowy'!$E$12</f>
        <v>400000</v>
      </c>
      <c r="J12" s="5">
        <f>'Efekt rzeczowy'!H13*'Harmonogram rzeczowo-finansowy'!$E$12</f>
        <v>360000</v>
      </c>
      <c r="K12" s="5">
        <f>'Efekt rzeczowy'!I13*'Harmonogram rzeczowo-finansowy'!$E$12</f>
        <v>440000</v>
      </c>
      <c r="L12" s="5">
        <f t="shared" si="0"/>
        <v>2520000</v>
      </c>
    </row>
    <row r="13" spans="2:12" x14ac:dyDescent="0.25">
      <c r="B13" s="3">
        <v>11</v>
      </c>
      <c r="C13" s="4" t="s">
        <v>56</v>
      </c>
      <c r="D13" s="4">
        <f>'Efekt rzeczowy'!J14</f>
        <v>373</v>
      </c>
      <c r="E13" s="5">
        <v>50000</v>
      </c>
      <c r="F13" s="5">
        <f>'Efekt rzeczowy'!D14*'Harmonogram rzeczowo-finansowy'!$E$13</f>
        <v>2500000</v>
      </c>
      <c r="G13" s="5">
        <f>'Efekt rzeczowy'!E14*'Harmonogram rzeczowo-finansowy'!$E$13</f>
        <v>3000000</v>
      </c>
      <c r="H13" s="5">
        <f>'Efekt rzeczowy'!F14*'Harmonogram rzeczowo-finansowy'!$E$13</f>
        <v>3500000</v>
      </c>
      <c r="I13" s="5">
        <f>'Efekt rzeczowy'!G14*'Harmonogram rzeczowo-finansowy'!$E$13</f>
        <v>3550000</v>
      </c>
      <c r="J13" s="5">
        <f>'Efekt rzeczowy'!H14*'Harmonogram rzeczowo-finansowy'!$E$13</f>
        <v>3050000</v>
      </c>
      <c r="K13" s="5">
        <f>'Efekt rzeczowy'!I14*'Harmonogram rzeczowo-finansowy'!$E$13</f>
        <v>3050000</v>
      </c>
      <c r="L13" s="5">
        <f t="shared" si="0"/>
        <v>18650000</v>
      </c>
    </row>
    <row r="14" spans="2:12" x14ac:dyDescent="0.25">
      <c r="B14" s="79" t="s">
        <v>0</v>
      </c>
      <c r="C14" s="80"/>
      <c r="D14" s="58">
        <f>SUM(D3:D13)</f>
        <v>3267</v>
      </c>
      <c r="E14" s="65"/>
      <c r="F14" s="66">
        <f>SUM(F3:F13)</f>
        <v>8897500</v>
      </c>
      <c r="G14" s="66">
        <f t="shared" ref="G14:K14" si="1">SUM(G3:G13)</f>
        <v>9225000</v>
      </c>
      <c r="H14" s="66">
        <f t="shared" si="1"/>
        <v>9347500</v>
      </c>
      <c r="I14" s="66">
        <f t="shared" si="1"/>
        <v>9380000</v>
      </c>
      <c r="J14" s="66">
        <f t="shared" si="1"/>
        <v>9185000</v>
      </c>
      <c r="K14" s="66">
        <f t="shared" si="1"/>
        <v>9165000</v>
      </c>
      <c r="L14" s="66">
        <f>SUM(L3:L13)</f>
        <v>55200000</v>
      </c>
    </row>
  </sheetData>
  <mergeCells count="1"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showGridLines="0" view="pageBreakPreview" zoomScale="60" zoomScaleNormal="100" workbookViewId="0">
      <selection activeCell="D56" sqref="D56"/>
    </sheetView>
  </sheetViews>
  <sheetFormatPr defaultColWidth="9.140625" defaultRowHeight="12.75" x14ac:dyDescent="0.25"/>
  <cols>
    <col min="1" max="1" width="9.140625" style="19"/>
    <col min="2" max="2" width="58.5703125" style="19" customWidth="1"/>
    <col min="3" max="3" width="64.7109375" style="19" customWidth="1"/>
    <col min="4" max="4" width="50.7109375" style="19" customWidth="1"/>
    <col min="5" max="16384" width="9.140625" style="19"/>
  </cols>
  <sheetData>
    <row r="1" spans="2:8" ht="45" x14ac:dyDescent="0.6">
      <c r="B1" s="83" t="s">
        <v>111</v>
      </c>
      <c r="C1" s="83"/>
      <c r="D1" s="43"/>
    </row>
    <row r="2" spans="2:8" ht="18" customHeight="1" x14ac:dyDescent="0.2">
      <c r="B2" s="85" t="s">
        <v>94</v>
      </c>
      <c r="C2" s="57" t="s">
        <v>63</v>
      </c>
      <c r="D2" s="43"/>
      <c r="E2" s="18"/>
      <c r="F2" s="18"/>
      <c r="G2" s="18"/>
      <c r="H2" s="18"/>
    </row>
    <row r="3" spans="2:8" ht="14.25" customHeight="1" x14ac:dyDescent="0.2">
      <c r="B3" s="85"/>
      <c r="C3" s="44" t="s">
        <v>112</v>
      </c>
      <c r="D3" s="43"/>
      <c r="E3" s="18"/>
      <c r="F3" s="18"/>
      <c r="G3" s="18"/>
      <c r="H3" s="18"/>
    </row>
    <row r="4" spans="2:8" ht="14.25" x14ac:dyDescent="0.2">
      <c r="B4" s="85"/>
      <c r="C4" s="45" t="s">
        <v>64</v>
      </c>
      <c r="D4" s="43"/>
      <c r="E4" s="18"/>
      <c r="F4" s="18"/>
      <c r="G4" s="20"/>
      <c r="H4" s="21"/>
    </row>
    <row r="5" spans="2:8" ht="33.75" x14ac:dyDescent="0.5">
      <c r="B5" s="85"/>
      <c r="C5" s="46">
        <f>VLOOKUP(C3,'[2]REDUKCJA emisji rocznej z gmin'!$B$2:$C$316,2,0)</f>
        <v>100.65</v>
      </c>
      <c r="D5" s="43"/>
      <c r="E5" s="18"/>
      <c r="F5" s="21"/>
      <c r="G5" s="20"/>
      <c r="H5" s="21"/>
    </row>
    <row r="6" spans="2:8" ht="20.25" x14ac:dyDescent="0.3">
      <c r="B6" s="86" t="s">
        <v>65</v>
      </c>
      <c r="C6" s="87"/>
      <c r="D6" s="43"/>
      <c r="E6" s="18"/>
      <c r="F6" s="21"/>
      <c r="G6" s="21"/>
      <c r="H6" s="18"/>
    </row>
    <row r="7" spans="2:8" ht="20.25" x14ac:dyDescent="0.3">
      <c r="B7" s="84" t="s">
        <v>66</v>
      </c>
      <c r="C7" s="84"/>
      <c r="D7" s="43"/>
      <c r="E7" s="18"/>
      <c r="F7" s="21"/>
      <c r="G7" s="21"/>
      <c r="H7" s="18"/>
    </row>
    <row r="8" spans="2:8" ht="30" x14ac:dyDescent="0.25">
      <c r="B8" s="47" t="s">
        <v>67</v>
      </c>
      <c r="C8" s="48" t="s">
        <v>68</v>
      </c>
      <c r="D8" s="43"/>
      <c r="E8" s="18"/>
      <c r="F8" s="21"/>
      <c r="G8" s="21"/>
      <c r="H8" s="18"/>
    </row>
    <row r="9" spans="2:8" ht="48" customHeight="1" x14ac:dyDescent="0.3">
      <c r="B9" s="45" t="s">
        <v>69</v>
      </c>
      <c r="C9" s="45" t="s">
        <v>64</v>
      </c>
      <c r="D9" s="49"/>
      <c r="E9" s="18"/>
      <c r="F9" s="18"/>
      <c r="G9" s="18"/>
      <c r="H9" s="18"/>
    </row>
    <row r="10" spans="2:8" ht="23.1" x14ac:dyDescent="0.5">
      <c r="B10" s="50">
        <f>PRODUCT('Efekt rzeczowy'!J4,'Założenia do obliczeń'!C19)</f>
        <v>69479.199999999997</v>
      </c>
      <c r="C10" s="51">
        <f>B10*0.4724/1000</f>
        <v>32.821974079999997</v>
      </c>
      <c r="D10" s="49">
        <f>C10</f>
        <v>32.821974079999997</v>
      </c>
      <c r="E10" s="18"/>
      <c r="F10" s="18"/>
      <c r="G10" s="18"/>
      <c r="H10" s="18"/>
    </row>
    <row r="11" spans="2:8" ht="20.25" x14ac:dyDescent="0.3">
      <c r="B11" s="84" t="s">
        <v>70</v>
      </c>
      <c r="C11" s="88"/>
      <c r="D11" s="49"/>
      <c r="E11" s="18"/>
      <c r="F11" s="18"/>
      <c r="G11" s="18"/>
      <c r="H11" s="18"/>
    </row>
    <row r="12" spans="2:8" ht="20.25" x14ac:dyDescent="0.3">
      <c r="B12" s="84" t="s">
        <v>47</v>
      </c>
      <c r="C12" s="84"/>
      <c r="D12" s="49"/>
      <c r="E12" s="18"/>
      <c r="F12" s="18"/>
      <c r="G12" s="18"/>
      <c r="H12" s="18"/>
    </row>
    <row r="13" spans="2:8" ht="30" x14ac:dyDescent="0.25">
      <c r="B13" s="47" t="s">
        <v>67</v>
      </c>
      <c r="C13" s="48" t="s">
        <v>71</v>
      </c>
      <c r="D13" s="49"/>
      <c r="E13" s="18"/>
      <c r="F13" s="18"/>
      <c r="G13" s="18"/>
      <c r="H13" s="18"/>
    </row>
    <row r="14" spans="2:8" ht="14.1" x14ac:dyDescent="0.3">
      <c r="B14" s="45" t="s">
        <v>69</v>
      </c>
      <c r="C14" s="45" t="s">
        <v>64</v>
      </c>
      <c r="D14" s="52"/>
      <c r="E14" s="18"/>
      <c r="F14" s="18"/>
      <c r="G14" s="18"/>
      <c r="H14" s="18"/>
    </row>
    <row r="15" spans="2:8" ht="23.1" x14ac:dyDescent="0.5">
      <c r="B15" s="50">
        <f>PRODUCT('Efekt rzeczowy'!J5,'Założenia do obliczeń'!C19)</f>
        <v>15019</v>
      </c>
      <c r="C15" s="53">
        <f>B15*0.4724/1000</f>
        <v>7.0949755999999997</v>
      </c>
      <c r="D15" s="52">
        <f>C15</f>
        <v>7.0949755999999997</v>
      </c>
    </row>
    <row r="16" spans="2:8" ht="20.25" x14ac:dyDescent="0.3">
      <c r="B16" s="84" t="s">
        <v>72</v>
      </c>
      <c r="C16" s="88"/>
      <c r="D16" s="52"/>
    </row>
    <row r="17" spans="2:4" ht="20.25" x14ac:dyDescent="0.3">
      <c r="B17" s="91" t="s">
        <v>48</v>
      </c>
      <c r="C17" s="92"/>
      <c r="D17" s="52"/>
    </row>
    <row r="18" spans="2:4" ht="30" x14ac:dyDescent="0.25">
      <c r="B18" s="47" t="s">
        <v>67</v>
      </c>
      <c r="C18" s="48" t="s">
        <v>73</v>
      </c>
      <c r="D18" s="52"/>
    </row>
    <row r="19" spans="2:4" ht="14.1" x14ac:dyDescent="0.3">
      <c r="B19" s="45" t="s">
        <v>69</v>
      </c>
      <c r="C19" s="45" t="s">
        <v>64</v>
      </c>
      <c r="D19" s="52"/>
    </row>
    <row r="20" spans="2:4" ht="23.1" x14ac:dyDescent="0.5">
      <c r="B20" s="50">
        <f>PRODUCT('Efekt rzeczowy'!J6,'Założenia do obliczeń'!C19)</f>
        <v>18284</v>
      </c>
      <c r="C20" s="53">
        <f>B20*0.0282/1000</f>
        <v>0.51560879999999998</v>
      </c>
      <c r="D20" s="52">
        <f>C20</f>
        <v>0.51560879999999998</v>
      </c>
    </row>
    <row r="21" spans="2:4" ht="20.25" x14ac:dyDescent="0.3">
      <c r="B21" s="84" t="s">
        <v>74</v>
      </c>
      <c r="C21" s="88"/>
      <c r="D21" s="52"/>
    </row>
    <row r="22" spans="2:4" ht="20.25" x14ac:dyDescent="0.3">
      <c r="B22" s="91" t="s">
        <v>49</v>
      </c>
      <c r="C22" s="92"/>
      <c r="D22" s="52"/>
    </row>
    <row r="23" spans="2:4" ht="30" x14ac:dyDescent="0.25">
      <c r="B23" s="47" t="s">
        <v>67</v>
      </c>
      <c r="C23" s="48" t="s">
        <v>75</v>
      </c>
      <c r="D23" s="52"/>
    </row>
    <row r="24" spans="2:4" ht="14.25" x14ac:dyDescent="0.2">
      <c r="B24" s="45" t="s">
        <v>69</v>
      </c>
      <c r="C24" s="45" t="s">
        <v>64</v>
      </c>
      <c r="D24" s="52"/>
    </row>
    <row r="25" spans="2:4" ht="23.25" x14ac:dyDescent="0.35">
      <c r="B25" s="50">
        <f>PRODUCT('Efekt rzeczowy'!J7,'Założenia do obliczeń'!C19)</f>
        <v>83584</v>
      </c>
      <c r="C25" s="53">
        <f>B25*0.1918/1000</f>
        <v>16.031411200000001</v>
      </c>
      <c r="D25" s="52">
        <f>C25</f>
        <v>16.031411200000001</v>
      </c>
    </row>
    <row r="26" spans="2:4" ht="20.25" x14ac:dyDescent="0.3">
      <c r="B26" s="84" t="s">
        <v>76</v>
      </c>
      <c r="C26" s="88"/>
      <c r="D26" s="52"/>
    </row>
    <row r="27" spans="2:4" ht="20.25" x14ac:dyDescent="0.3">
      <c r="B27" s="91" t="s">
        <v>77</v>
      </c>
      <c r="C27" s="92"/>
      <c r="D27" s="52"/>
    </row>
    <row r="28" spans="2:4" ht="30" x14ac:dyDescent="0.25">
      <c r="B28" s="47" t="s">
        <v>67</v>
      </c>
      <c r="C28" s="48" t="s">
        <v>78</v>
      </c>
      <c r="D28" s="52"/>
    </row>
    <row r="29" spans="2:4" ht="14.25" x14ac:dyDescent="0.2">
      <c r="B29" s="45" t="s">
        <v>69</v>
      </c>
      <c r="C29" s="45" t="s">
        <v>64</v>
      </c>
      <c r="D29" s="52"/>
    </row>
    <row r="30" spans="2:4" ht="23.25" x14ac:dyDescent="0.35">
      <c r="B30" s="50">
        <f>PRODUCT('Efekt rzeczowy'!J8,'Założenia do obliczeń'!C19)</f>
        <v>10448</v>
      </c>
      <c r="C30" s="53">
        <f>B30*0.1918/1000</f>
        <v>2.0039264000000001</v>
      </c>
      <c r="D30" s="52">
        <f>C30</f>
        <v>2.0039264000000001</v>
      </c>
    </row>
    <row r="31" spans="2:4" ht="20.25" x14ac:dyDescent="0.3">
      <c r="B31" s="84" t="s">
        <v>79</v>
      </c>
      <c r="C31" s="88"/>
      <c r="D31" s="52"/>
    </row>
    <row r="32" spans="2:4" ht="20.25" x14ac:dyDescent="0.3">
      <c r="B32" s="91" t="s">
        <v>80</v>
      </c>
      <c r="C32" s="92"/>
      <c r="D32" s="52"/>
    </row>
    <row r="33" spans="2:4" ht="30" x14ac:dyDescent="0.25">
      <c r="B33" s="47" t="s">
        <v>67</v>
      </c>
      <c r="C33" s="48" t="s">
        <v>81</v>
      </c>
      <c r="D33" s="52"/>
    </row>
    <row r="34" spans="2:4" ht="14.25" x14ac:dyDescent="0.2">
      <c r="B34" s="45" t="s">
        <v>69</v>
      </c>
      <c r="C34" s="45" t="s">
        <v>64</v>
      </c>
      <c r="D34" s="52"/>
    </row>
    <row r="35" spans="2:4" ht="23.25" x14ac:dyDescent="0.35">
      <c r="B35" s="50">
        <f>PRODUCT('Efekt rzeczowy'!J9,'Założenia do obliczeń'!C19)</f>
        <v>15672</v>
      </c>
      <c r="C35" s="53">
        <f>B35*0.3836/1000</f>
        <v>6.0117792000000003</v>
      </c>
      <c r="D35" s="52">
        <f>C35</f>
        <v>6.0117792000000003</v>
      </c>
    </row>
    <row r="36" spans="2:4" ht="20.25" x14ac:dyDescent="0.3">
      <c r="B36" s="84" t="s">
        <v>82</v>
      </c>
      <c r="C36" s="88"/>
      <c r="D36" s="52"/>
    </row>
    <row r="37" spans="2:4" ht="20.25" x14ac:dyDescent="0.3">
      <c r="B37" s="91" t="s">
        <v>52</v>
      </c>
      <c r="C37" s="92"/>
      <c r="D37" s="52"/>
    </row>
    <row r="38" spans="2:4" ht="30" x14ac:dyDescent="0.25">
      <c r="B38" s="47" t="s">
        <v>67</v>
      </c>
      <c r="C38" s="48" t="s">
        <v>83</v>
      </c>
      <c r="D38" s="52"/>
    </row>
    <row r="39" spans="2:4" ht="14.25" x14ac:dyDescent="0.2">
      <c r="B39" s="45" t="s">
        <v>69</v>
      </c>
      <c r="C39" s="45" t="s">
        <v>64</v>
      </c>
      <c r="D39" s="52"/>
    </row>
    <row r="40" spans="2:4" ht="23.25" x14ac:dyDescent="0.35">
      <c r="B40" s="50">
        <f>PRODUCT('Efekt rzeczowy'!J10,'Założenia do obliczeń'!C19)</f>
        <v>100562</v>
      </c>
      <c r="C40" s="53">
        <f>B40*0.4718/1000</f>
        <v>47.445151599999996</v>
      </c>
      <c r="D40" s="52">
        <f>C40</f>
        <v>47.445151599999996</v>
      </c>
    </row>
    <row r="41" spans="2:4" ht="20.25" x14ac:dyDescent="0.3">
      <c r="B41" s="84" t="s">
        <v>84</v>
      </c>
      <c r="C41" s="88"/>
      <c r="D41" s="52"/>
    </row>
    <row r="42" spans="2:4" ht="20.25" x14ac:dyDescent="0.3">
      <c r="B42" s="91" t="s">
        <v>53</v>
      </c>
      <c r="C42" s="92"/>
      <c r="D42" s="52"/>
    </row>
    <row r="43" spans="2:4" ht="30" x14ac:dyDescent="0.25">
      <c r="B43" s="47" t="s">
        <v>67</v>
      </c>
      <c r="C43" s="48" t="s">
        <v>85</v>
      </c>
      <c r="D43" s="52"/>
    </row>
    <row r="44" spans="2:4" ht="14.25" x14ac:dyDescent="0.2">
      <c r="B44" s="45" t="s">
        <v>69</v>
      </c>
      <c r="C44" s="45" t="s">
        <v>64</v>
      </c>
      <c r="D44" s="52"/>
    </row>
    <row r="45" spans="2:4" ht="23.25" x14ac:dyDescent="0.35">
      <c r="B45" s="50">
        <f>PRODUCT('Efekt rzeczowy'!J11,'Założenia do obliczeń'!C19)</f>
        <v>11754</v>
      </c>
      <c r="C45" s="53">
        <f>B45*0.4681/1000</f>
        <v>5.5020474000000004</v>
      </c>
      <c r="D45" s="52">
        <f>C45</f>
        <v>5.5020474000000004</v>
      </c>
    </row>
    <row r="46" spans="2:4" ht="20.25" x14ac:dyDescent="0.3">
      <c r="B46" s="84" t="s">
        <v>86</v>
      </c>
      <c r="C46" s="88"/>
      <c r="D46" s="52"/>
    </row>
    <row r="47" spans="2:4" ht="20.25" x14ac:dyDescent="0.3">
      <c r="B47" s="91" t="s">
        <v>54</v>
      </c>
      <c r="C47" s="92"/>
      <c r="D47" s="52"/>
    </row>
    <row r="48" spans="2:4" ht="30" x14ac:dyDescent="0.25">
      <c r="B48" s="47" t="s">
        <v>67</v>
      </c>
      <c r="C48" s="48" t="s">
        <v>87</v>
      </c>
      <c r="D48" s="52"/>
    </row>
    <row r="49" spans="2:4" ht="14.25" x14ac:dyDescent="0.2">
      <c r="B49" s="45" t="s">
        <v>69</v>
      </c>
      <c r="C49" s="45" t="s">
        <v>64</v>
      </c>
      <c r="D49" s="52"/>
    </row>
    <row r="50" spans="2:4" ht="23.25" x14ac:dyDescent="0.35">
      <c r="B50" s="50">
        <f>PRODUCT('Efekt rzeczowy'!J12,'Założenia do obliczeń'!C19)</f>
        <v>12015.199999999999</v>
      </c>
      <c r="C50" s="53">
        <f>B50*0.4724/1000</f>
        <v>5.6759804799999989</v>
      </c>
      <c r="D50" s="52">
        <f>C50</f>
        <v>5.6759804799999989</v>
      </c>
    </row>
    <row r="51" spans="2:4" ht="20.25" x14ac:dyDescent="0.3">
      <c r="B51" s="84" t="s">
        <v>88</v>
      </c>
      <c r="C51" s="88"/>
      <c r="D51" s="52"/>
    </row>
    <row r="52" spans="2:4" ht="20.25" x14ac:dyDescent="0.3">
      <c r="B52" s="91" t="s">
        <v>55</v>
      </c>
      <c r="C52" s="92"/>
      <c r="D52" s="52"/>
    </row>
    <row r="53" spans="2:4" ht="30" x14ac:dyDescent="0.25">
      <c r="B53" s="47" t="s">
        <v>67</v>
      </c>
      <c r="C53" s="48" t="s">
        <v>89</v>
      </c>
      <c r="D53" s="52"/>
    </row>
    <row r="54" spans="2:4" ht="14.25" x14ac:dyDescent="0.2">
      <c r="B54" s="45" t="s">
        <v>69</v>
      </c>
      <c r="C54" s="45" t="s">
        <v>64</v>
      </c>
      <c r="D54" s="52"/>
    </row>
    <row r="55" spans="2:4" ht="23.25" x14ac:dyDescent="0.35">
      <c r="B55" s="50">
        <f>PRODUCT('Efekt rzeczowy'!J13,'Założenia do obliczeń'!C19)</f>
        <v>41139</v>
      </c>
      <c r="C55" s="53">
        <f>B55*0.0364/1000</f>
        <v>1.4974596000000002</v>
      </c>
      <c r="D55" s="52">
        <f>C55</f>
        <v>1.4974596000000002</v>
      </c>
    </row>
    <row r="56" spans="2:4" ht="20.25" x14ac:dyDescent="0.3">
      <c r="B56" s="84" t="s">
        <v>90</v>
      </c>
      <c r="C56" s="88"/>
      <c r="D56" s="52"/>
    </row>
    <row r="57" spans="2:4" ht="20.25" x14ac:dyDescent="0.3">
      <c r="B57" s="91" t="s">
        <v>56</v>
      </c>
      <c r="C57" s="92"/>
      <c r="D57" s="52"/>
    </row>
    <row r="58" spans="2:4" ht="30" x14ac:dyDescent="0.25">
      <c r="B58" s="47" t="s">
        <v>67</v>
      </c>
      <c r="C58" s="48" t="s">
        <v>91</v>
      </c>
      <c r="D58" s="52"/>
    </row>
    <row r="59" spans="2:4" ht="14.25" x14ac:dyDescent="0.2">
      <c r="B59" s="45" t="s">
        <v>69</v>
      </c>
      <c r="C59" s="45" t="s">
        <v>64</v>
      </c>
      <c r="D59" s="52"/>
    </row>
    <row r="60" spans="2:4" ht="23.25" x14ac:dyDescent="0.35">
      <c r="B60" s="68">
        <f>PRODUCT('Efekt rzeczowy'!J14,'Założenia do obliczeń'!C19)</f>
        <v>48713.799999999996</v>
      </c>
      <c r="C60" s="54">
        <f>B60*0.1417/1000</f>
        <v>6.9027454599999993</v>
      </c>
      <c r="D60" s="52">
        <f>C60</f>
        <v>6.9027454599999993</v>
      </c>
    </row>
    <row r="61" spans="2:4" ht="35.1" customHeight="1" x14ac:dyDescent="0.5">
      <c r="B61" s="89" t="s">
        <v>106</v>
      </c>
      <c r="C61" s="89"/>
      <c r="D61" s="55">
        <f>SUM(D10:D60)</f>
        <v>131.50305981999998</v>
      </c>
    </row>
    <row r="62" spans="2:4" ht="18.75" customHeight="1" x14ac:dyDescent="0.5">
      <c r="B62" s="89" t="s">
        <v>92</v>
      </c>
      <c r="C62" s="89"/>
      <c r="D62" s="56" t="str">
        <f>IF(D61&gt;C5,"Tak","Nie")</f>
        <v>Tak</v>
      </c>
    </row>
    <row r="63" spans="2:4" ht="18.75" customHeight="1" x14ac:dyDescent="0.25">
      <c r="B63" s="90" t="s">
        <v>92</v>
      </c>
      <c r="C63" s="90"/>
      <c r="D63" s="17" t="str">
        <f>IF(D62&gt;C6,"Tak","Nie")</f>
        <v>Tak</v>
      </c>
    </row>
    <row r="74" spans="5:5" x14ac:dyDescent="0.25">
      <c r="E74" s="19" t="s">
        <v>93</v>
      </c>
    </row>
  </sheetData>
  <mergeCells count="27">
    <mergeCell ref="B46:C46"/>
    <mergeCell ref="B51:C51"/>
    <mergeCell ref="B56:C56"/>
    <mergeCell ref="B61:C61"/>
    <mergeCell ref="B16:C16"/>
    <mergeCell ref="B21:C21"/>
    <mergeCell ref="B26:C26"/>
    <mergeCell ref="B31:C31"/>
    <mergeCell ref="B36:C36"/>
    <mergeCell ref="B17:C17"/>
    <mergeCell ref="B22:C22"/>
    <mergeCell ref="B27:C27"/>
    <mergeCell ref="B32:C32"/>
    <mergeCell ref="B37:C37"/>
    <mergeCell ref="B42:C42"/>
    <mergeCell ref="B41:C41"/>
    <mergeCell ref="B62:C62"/>
    <mergeCell ref="B63:C63"/>
    <mergeCell ref="B47:C47"/>
    <mergeCell ref="B52:C52"/>
    <mergeCell ref="B57:C57"/>
    <mergeCell ref="B1:C1"/>
    <mergeCell ref="B7:C7"/>
    <mergeCell ref="B12:C12"/>
    <mergeCell ref="B2:B5"/>
    <mergeCell ref="B6:C6"/>
    <mergeCell ref="B11:C11"/>
  </mergeCells>
  <dataValidations count="1">
    <dataValidation type="list" showInputMessage="1" showErrorMessage="1" promptTitle="miasto" sqref="C3">
      <formula1>gmina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3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showGridLines="0" tabSelected="1" view="pageBreakPreview" zoomScale="60" zoomScaleNormal="100" workbookViewId="0">
      <selection activeCell="B61" sqref="B61:C61"/>
    </sheetView>
  </sheetViews>
  <sheetFormatPr defaultColWidth="9.140625" defaultRowHeight="12.75" x14ac:dyDescent="0.25"/>
  <cols>
    <col min="1" max="1" width="9.140625" style="19"/>
    <col min="2" max="2" width="58.5703125" style="19" customWidth="1"/>
    <col min="3" max="3" width="64.7109375" style="19" customWidth="1"/>
    <col min="4" max="4" width="50.7109375" style="19" customWidth="1"/>
    <col min="5" max="16384" width="9.140625" style="19"/>
  </cols>
  <sheetData>
    <row r="1" spans="2:8" ht="45" x14ac:dyDescent="0.6">
      <c r="B1" s="83" t="s">
        <v>61</v>
      </c>
      <c r="C1" s="83"/>
      <c r="D1" s="43"/>
    </row>
    <row r="2" spans="2:8" s="22" customFormat="1" ht="16.5" customHeight="1" x14ac:dyDescent="0.2">
      <c r="B2" s="85" t="s">
        <v>62</v>
      </c>
      <c r="C2" s="57" t="s">
        <v>63</v>
      </c>
      <c r="D2" s="43"/>
      <c r="E2" s="23"/>
      <c r="F2" s="23"/>
      <c r="G2" s="23"/>
      <c r="H2" s="23"/>
    </row>
    <row r="3" spans="2:8" s="22" customFormat="1" ht="16.5" customHeight="1" x14ac:dyDescent="0.2">
      <c r="B3" s="85"/>
      <c r="C3" s="44" t="s">
        <v>112</v>
      </c>
      <c r="D3" s="43"/>
      <c r="E3" s="23"/>
      <c r="F3" s="23"/>
      <c r="G3" s="23"/>
      <c r="H3" s="23"/>
    </row>
    <row r="4" spans="2:8" s="22" customFormat="1" ht="16.5" customHeight="1" x14ac:dyDescent="0.2">
      <c r="B4" s="85"/>
      <c r="C4" s="45" t="s">
        <v>64</v>
      </c>
      <c r="D4" s="43"/>
      <c r="E4" s="23"/>
      <c r="F4" s="23"/>
      <c r="G4" s="24"/>
      <c r="H4" s="25"/>
    </row>
    <row r="5" spans="2:8" s="22" customFormat="1" ht="16.5" customHeight="1" x14ac:dyDescent="0.5">
      <c r="B5" s="85"/>
      <c r="C5" s="46">
        <f>VLOOKUP(C3,'[3]REDUKCJA emisji rocznej z gmin'!$B$2:$C$316,2,0)</f>
        <v>99.12</v>
      </c>
      <c r="D5" s="43"/>
      <c r="E5" s="23"/>
      <c r="F5" s="25"/>
      <c r="G5" s="24"/>
      <c r="H5" s="25"/>
    </row>
    <row r="6" spans="2:8" s="22" customFormat="1" ht="16.5" customHeight="1" x14ac:dyDescent="0.3">
      <c r="B6" s="86" t="s">
        <v>65</v>
      </c>
      <c r="C6" s="87"/>
      <c r="D6" s="43"/>
      <c r="E6" s="23"/>
      <c r="F6" s="25"/>
      <c r="G6" s="25"/>
      <c r="H6" s="23"/>
    </row>
    <row r="7" spans="2:8" s="22" customFormat="1" ht="16.5" customHeight="1" x14ac:dyDescent="0.3">
      <c r="B7" s="84" t="s">
        <v>66</v>
      </c>
      <c r="C7" s="84"/>
      <c r="D7" s="43"/>
      <c r="E7" s="23"/>
      <c r="F7" s="25"/>
      <c r="G7" s="25"/>
      <c r="H7" s="23"/>
    </row>
    <row r="8" spans="2:8" s="22" customFormat="1" ht="16.5" customHeight="1" x14ac:dyDescent="0.25">
      <c r="B8" s="47" t="s">
        <v>67</v>
      </c>
      <c r="C8" s="48" t="s">
        <v>68</v>
      </c>
      <c r="D8" s="43"/>
      <c r="E8" s="23"/>
      <c r="F8" s="25"/>
      <c r="G8" s="25"/>
      <c r="H8" s="23"/>
    </row>
    <row r="9" spans="2:8" s="22" customFormat="1" ht="40.5" customHeight="1" x14ac:dyDescent="0.3">
      <c r="B9" s="45" t="s">
        <v>69</v>
      </c>
      <c r="C9" s="45" t="s">
        <v>64</v>
      </c>
      <c r="D9" s="49"/>
      <c r="E9" s="23"/>
      <c r="F9" s="23"/>
      <c r="G9" s="23"/>
      <c r="H9" s="23"/>
    </row>
    <row r="10" spans="2:8" s="22" customFormat="1" ht="16.5" customHeight="1" x14ac:dyDescent="0.5">
      <c r="B10" s="50">
        <f>'PM10'!B10</f>
        <v>69479.199999999997</v>
      </c>
      <c r="C10" s="51">
        <f>B10*0.4653/1000</f>
        <v>32.328671759999999</v>
      </c>
      <c r="D10" s="49">
        <f>C10</f>
        <v>32.328671759999999</v>
      </c>
      <c r="E10" s="23"/>
      <c r="F10" s="23"/>
      <c r="G10" s="23"/>
      <c r="H10" s="23"/>
    </row>
    <row r="11" spans="2:8" s="22" customFormat="1" ht="16.5" customHeight="1" x14ac:dyDescent="0.3">
      <c r="B11" s="84" t="s">
        <v>70</v>
      </c>
      <c r="C11" s="88"/>
      <c r="D11" s="49"/>
      <c r="E11" s="23"/>
      <c r="F11" s="23"/>
      <c r="G11" s="23"/>
      <c r="H11" s="23"/>
    </row>
    <row r="12" spans="2:8" s="22" customFormat="1" ht="16.5" customHeight="1" x14ac:dyDescent="0.3">
      <c r="B12" s="84" t="s">
        <v>47</v>
      </c>
      <c r="C12" s="84"/>
      <c r="D12" s="49"/>
      <c r="E12" s="23"/>
      <c r="F12" s="23"/>
      <c r="G12" s="23"/>
      <c r="H12" s="23"/>
    </row>
    <row r="13" spans="2:8" s="22" customFormat="1" ht="16.5" customHeight="1" x14ac:dyDescent="0.25">
      <c r="B13" s="47" t="s">
        <v>67</v>
      </c>
      <c r="C13" s="48" t="s">
        <v>71</v>
      </c>
      <c r="D13" s="49"/>
      <c r="E13" s="23"/>
      <c r="F13" s="23"/>
      <c r="G13" s="23"/>
      <c r="H13" s="23"/>
    </row>
    <row r="14" spans="2:8" s="22" customFormat="1" ht="30" customHeight="1" x14ac:dyDescent="0.3">
      <c r="B14" s="45" t="s">
        <v>69</v>
      </c>
      <c r="C14" s="45" t="s">
        <v>64</v>
      </c>
      <c r="D14" s="52"/>
      <c r="E14" s="23"/>
      <c r="F14" s="23"/>
      <c r="G14" s="23"/>
      <c r="H14" s="23"/>
    </row>
    <row r="15" spans="2:8" s="22" customFormat="1" ht="17.25" customHeight="1" x14ac:dyDescent="0.5">
      <c r="B15" s="50">
        <f>'PM10'!B15</f>
        <v>15019</v>
      </c>
      <c r="C15" s="53">
        <f>B15*0.4653/1000</f>
        <v>6.9883407000000002</v>
      </c>
      <c r="D15" s="52">
        <f>C15</f>
        <v>6.9883407000000002</v>
      </c>
    </row>
    <row r="16" spans="2:8" s="22" customFormat="1" ht="16.5" customHeight="1" x14ac:dyDescent="0.3">
      <c r="B16" s="84" t="s">
        <v>72</v>
      </c>
      <c r="C16" s="88"/>
      <c r="D16" s="52"/>
    </row>
    <row r="17" spans="2:4" s="22" customFormat="1" ht="16.5" customHeight="1" x14ac:dyDescent="0.3">
      <c r="B17" s="91" t="s">
        <v>48</v>
      </c>
      <c r="C17" s="92"/>
      <c r="D17" s="52"/>
    </row>
    <row r="18" spans="2:4" s="22" customFormat="1" ht="16.5" customHeight="1" x14ac:dyDescent="0.25">
      <c r="B18" s="47" t="s">
        <v>67</v>
      </c>
      <c r="C18" s="48" t="s">
        <v>73</v>
      </c>
      <c r="D18" s="52"/>
    </row>
    <row r="19" spans="2:4" s="22" customFormat="1" ht="41.25" customHeight="1" x14ac:dyDescent="0.3">
      <c r="B19" s="45" t="s">
        <v>69</v>
      </c>
      <c r="C19" s="45" t="s">
        <v>64</v>
      </c>
      <c r="D19" s="52"/>
    </row>
    <row r="20" spans="2:4" s="22" customFormat="1" ht="18.75" customHeight="1" x14ac:dyDescent="0.5">
      <c r="B20" s="50">
        <f>'PM10'!B20</f>
        <v>18284</v>
      </c>
      <c r="C20" s="53">
        <f>B20*0.0444/1000</f>
        <v>0.81180960000000002</v>
      </c>
      <c r="D20" s="52">
        <f>C20</f>
        <v>0.81180960000000002</v>
      </c>
    </row>
    <row r="21" spans="2:4" s="22" customFormat="1" ht="16.5" customHeight="1" x14ac:dyDescent="0.3">
      <c r="B21" s="84" t="s">
        <v>74</v>
      </c>
      <c r="C21" s="88"/>
      <c r="D21" s="52"/>
    </row>
    <row r="22" spans="2:4" s="22" customFormat="1" ht="16.5" customHeight="1" x14ac:dyDescent="0.3">
      <c r="B22" s="91" t="s">
        <v>49</v>
      </c>
      <c r="C22" s="92"/>
      <c r="D22" s="52"/>
    </row>
    <row r="23" spans="2:4" s="22" customFormat="1" ht="16.5" customHeight="1" x14ac:dyDescent="0.25">
      <c r="B23" s="47" t="s">
        <v>67</v>
      </c>
      <c r="C23" s="48" t="s">
        <v>75</v>
      </c>
      <c r="D23" s="52"/>
    </row>
    <row r="24" spans="2:4" s="22" customFormat="1" ht="36" customHeight="1" x14ac:dyDescent="0.3">
      <c r="B24" s="45" t="s">
        <v>69</v>
      </c>
      <c r="C24" s="45" t="s">
        <v>64</v>
      </c>
      <c r="D24" s="52"/>
    </row>
    <row r="25" spans="2:4" s="22" customFormat="1" ht="15.75" customHeight="1" x14ac:dyDescent="0.35">
      <c r="B25" s="50">
        <f>'PM10'!B25</f>
        <v>83584</v>
      </c>
      <c r="C25" s="53">
        <f>B25*0.2081/1000</f>
        <v>17.393830399999999</v>
      </c>
      <c r="D25" s="52">
        <f>C25</f>
        <v>17.393830399999999</v>
      </c>
    </row>
    <row r="26" spans="2:4" s="22" customFormat="1" ht="16.5" customHeight="1" x14ac:dyDescent="0.3">
      <c r="B26" s="84" t="s">
        <v>76</v>
      </c>
      <c r="C26" s="88"/>
      <c r="D26" s="52"/>
    </row>
    <row r="27" spans="2:4" s="22" customFormat="1" ht="16.5" customHeight="1" x14ac:dyDescent="0.3">
      <c r="B27" s="91" t="s">
        <v>77</v>
      </c>
      <c r="C27" s="92"/>
      <c r="D27" s="52"/>
    </row>
    <row r="28" spans="2:4" s="22" customFormat="1" ht="16.5" customHeight="1" x14ac:dyDescent="0.25">
      <c r="B28" s="47" t="s">
        <v>67</v>
      </c>
      <c r="C28" s="48" t="s">
        <v>78</v>
      </c>
      <c r="D28" s="52"/>
    </row>
    <row r="29" spans="2:4" s="22" customFormat="1" ht="37.5" customHeight="1" x14ac:dyDescent="0.2">
      <c r="B29" s="45" t="s">
        <v>69</v>
      </c>
      <c r="C29" s="45" t="s">
        <v>64</v>
      </c>
      <c r="D29" s="52"/>
    </row>
    <row r="30" spans="2:4" s="22" customFormat="1" ht="16.5" customHeight="1" x14ac:dyDescent="0.35">
      <c r="B30" s="50">
        <f>'PM10'!B30</f>
        <v>10448</v>
      </c>
      <c r="C30" s="53">
        <f>B30*0.1847/1000</f>
        <v>1.9297455999999999</v>
      </c>
      <c r="D30" s="52">
        <f>C30</f>
        <v>1.9297455999999999</v>
      </c>
    </row>
    <row r="31" spans="2:4" s="22" customFormat="1" ht="16.5" customHeight="1" x14ac:dyDescent="0.3">
      <c r="B31" s="84" t="s">
        <v>79</v>
      </c>
      <c r="C31" s="88"/>
      <c r="D31" s="52"/>
    </row>
    <row r="32" spans="2:4" s="22" customFormat="1" ht="16.5" customHeight="1" x14ac:dyDescent="0.3">
      <c r="B32" s="91" t="s">
        <v>80</v>
      </c>
      <c r="C32" s="92"/>
      <c r="D32" s="52"/>
    </row>
    <row r="33" spans="2:4" s="22" customFormat="1" ht="16.5" customHeight="1" x14ac:dyDescent="0.25">
      <c r="B33" s="47" t="s">
        <v>67</v>
      </c>
      <c r="C33" s="48" t="s">
        <v>81</v>
      </c>
      <c r="D33" s="52"/>
    </row>
    <row r="34" spans="2:4" s="22" customFormat="1" ht="29.25" customHeight="1" x14ac:dyDescent="0.2">
      <c r="B34" s="45" t="s">
        <v>69</v>
      </c>
      <c r="C34" s="45" t="s">
        <v>64</v>
      </c>
      <c r="D34" s="52"/>
    </row>
    <row r="35" spans="2:4" s="22" customFormat="1" ht="16.5" customHeight="1" x14ac:dyDescent="0.35">
      <c r="B35" s="50">
        <f>'PM10'!B35</f>
        <v>15672</v>
      </c>
      <c r="C35" s="53">
        <f>B35*0.3764/1000</f>
        <v>5.8989408000000001</v>
      </c>
      <c r="D35" s="52">
        <f>C35</f>
        <v>5.8989408000000001</v>
      </c>
    </row>
    <row r="36" spans="2:4" s="22" customFormat="1" ht="16.5" customHeight="1" x14ac:dyDescent="0.3">
      <c r="B36" s="84" t="s">
        <v>82</v>
      </c>
      <c r="C36" s="88"/>
      <c r="D36" s="52"/>
    </row>
    <row r="37" spans="2:4" s="22" customFormat="1" ht="16.5" customHeight="1" x14ac:dyDescent="0.3">
      <c r="B37" s="91" t="s">
        <v>52</v>
      </c>
      <c r="C37" s="92"/>
      <c r="D37" s="52"/>
    </row>
    <row r="38" spans="2:4" s="22" customFormat="1" ht="16.5" customHeight="1" x14ac:dyDescent="0.25">
      <c r="B38" s="47" t="s">
        <v>67</v>
      </c>
      <c r="C38" s="48" t="s">
        <v>83</v>
      </c>
      <c r="D38" s="52"/>
    </row>
    <row r="39" spans="2:4" s="22" customFormat="1" ht="36.75" customHeight="1" x14ac:dyDescent="0.2">
      <c r="B39" s="45" t="s">
        <v>69</v>
      </c>
      <c r="C39" s="45" t="s">
        <v>64</v>
      </c>
      <c r="D39" s="52"/>
    </row>
    <row r="40" spans="2:4" s="22" customFormat="1" ht="16.5" customHeight="1" x14ac:dyDescent="0.35">
      <c r="B40" s="50">
        <f>'PM10'!B40</f>
        <v>100562</v>
      </c>
      <c r="C40" s="53">
        <f>B40*0.4647/1000</f>
        <v>46.731161399999998</v>
      </c>
      <c r="D40" s="52">
        <f>C40</f>
        <v>46.731161399999998</v>
      </c>
    </row>
    <row r="41" spans="2:4" s="22" customFormat="1" ht="16.5" customHeight="1" x14ac:dyDescent="0.3">
      <c r="B41" s="84" t="s">
        <v>84</v>
      </c>
      <c r="C41" s="88"/>
      <c r="D41" s="52"/>
    </row>
    <row r="42" spans="2:4" s="22" customFormat="1" ht="16.5" customHeight="1" x14ac:dyDescent="0.3">
      <c r="B42" s="91" t="s">
        <v>53</v>
      </c>
      <c r="C42" s="92"/>
      <c r="D42" s="52"/>
    </row>
    <row r="43" spans="2:4" s="22" customFormat="1" ht="16.5" customHeight="1" x14ac:dyDescent="0.25">
      <c r="B43" s="47" t="s">
        <v>67</v>
      </c>
      <c r="C43" s="48" t="s">
        <v>85</v>
      </c>
      <c r="D43" s="52"/>
    </row>
    <row r="44" spans="2:4" s="22" customFormat="1" ht="32.25" customHeight="1" x14ac:dyDescent="0.2">
      <c r="B44" s="45" t="s">
        <v>69</v>
      </c>
      <c r="C44" s="45" t="s">
        <v>64</v>
      </c>
      <c r="D44" s="52"/>
    </row>
    <row r="45" spans="2:4" s="22" customFormat="1" ht="16.5" customHeight="1" x14ac:dyDescent="0.35">
      <c r="B45" s="50">
        <f>'PM10'!B45</f>
        <v>11754</v>
      </c>
      <c r="C45" s="53">
        <f>B45*0.4609/1000</f>
        <v>5.4174185999999995</v>
      </c>
      <c r="D45" s="52">
        <f>C45</f>
        <v>5.4174185999999995</v>
      </c>
    </row>
    <row r="46" spans="2:4" s="22" customFormat="1" ht="16.5" customHeight="1" x14ac:dyDescent="0.3">
      <c r="B46" s="84" t="s">
        <v>86</v>
      </c>
      <c r="C46" s="88"/>
      <c r="D46" s="52"/>
    </row>
    <row r="47" spans="2:4" s="22" customFormat="1" ht="16.5" customHeight="1" x14ac:dyDescent="0.3">
      <c r="B47" s="91" t="s">
        <v>54</v>
      </c>
      <c r="C47" s="92"/>
      <c r="D47" s="52"/>
    </row>
    <row r="48" spans="2:4" s="22" customFormat="1" ht="16.5" customHeight="1" x14ac:dyDescent="0.25">
      <c r="B48" s="47" t="s">
        <v>67</v>
      </c>
      <c r="C48" s="48" t="s">
        <v>87</v>
      </c>
      <c r="D48" s="52"/>
    </row>
    <row r="49" spans="2:4" s="22" customFormat="1" ht="33.75" customHeight="1" x14ac:dyDescent="0.2">
      <c r="B49" s="45" t="s">
        <v>69</v>
      </c>
      <c r="C49" s="45" t="s">
        <v>64</v>
      </c>
      <c r="D49" s="52"/>
    </row>
    <row r="50" spans="2:4" s="22" customFormat="1" ht="16.5" customHeight="1" x14ac:dyDescent="0.35">
      <c r="B50" s="50">
        <f>'PM10'!B50</f>
        <v>12015.199999999999</v>
      </c>
      <c r="C50" s="53">
        <f>B50*0.4653/1000</f>
        <v>5.5906725599999989</v>
      </c>
      <c r="D50" s="52">
        <f>C50</f>
        <v>5.5906725599999989</v>
      </c>
    </row>
    <row r="51" spans="2:4" s="22" customFormat="1" ht="16.5" customHeight="1" x14ac:dyDescent="0.3">
      <c r="B51" s="84" t="s">
        <v>88</v>
      </c>
      <c r="C51" s="88"/>
      <c r="D51" s="52"/>
    </row>
    <row r="52" spans="2:4" s="22" customFormat="1" ht="16.5" customHeight="1" x14ac:dyDescent="0.3">
      <c r="B52" s="91" t="s">
        <v>55</v>
      </c>
      <c r="C52" s="92"/>
      <c r="D52" s="52"/>
    </row>
    <row r="53" spans="2:4" s="22" customFormat="1" ht="16.5" customHeight="1" x14ac:dyDescent="0.25">
      <c r="B53" s="47" t="s">
        <v>67</v>
      </c>
      <c r="C53" s="48" t="s">
        <v>89</v>
      </c>
      <c r="D53" s="52"/>
    </row>
    <row r="54" spans="2:4" s="22" customFormat="1" ht="31.5" customHeight="1" x14ac:dyDescent="0.2">
      <c r="B54" s="45" t="s">
        <v>69</v>
      </c>
      <c r="C54" s="45" t="s">
        <v>64</v>
      </c>
      <c r="D54" s="52"/>
    </row>
    <row r="55" spans="2:4" s="22" customFormat="1" ht="16.5" customHeight="1" x14ac:dyDescent="0.35">
      <c r="B55" s="50">
        <f>'PM10'!B55</f>
        <v>41139</v>
      </c>
      <c r="C55" s="53">
        <f>B55*0.0358/1000</f>
        <v>1.4727762</v>
      </c>
      <c r="D55" s="52">
        <f>C55</f>
        <v>1.4727762</v>
      </c>
    </row>
    <row r="56" spans="2:4" s="22" customFormat="1" ht="16.5" customHeight="1" x14ac:dyDescent="0.3">
      <c r="B56" s="84" t="s">
        <v>90</v>
      </c>
      <c r="C56" s="88"/>
      <c r="D56" s="52"/>
    </row>
    <row r="57" spans="2:4" s="22" customFormat="1" ht="16.5" customHeight="1" x14ac:dyDescent="0.3">
      <c r="B57" s="91" t="s">
        <v>56</v>
      </c>
      <c r="C57" s="92"/>
      <c r="D57" s="52"/>
    </row>
    <row r="58" spans="2:4" s="22" customFormat="1" ht="16.5" customHeight="1" x14ac:dyDescent="0.25">
      <c r="B58" s="47" t="s">
        <v>67</v>
      </c>
      <c r="C58" s="48" t="s">
        <v>91</v>
      </c>
      <c r="D58" s="52"/>
    </row>
    <row r="59" spans="2:4" s="22" customFormat="1" ht="36" customHeight="1" x14ac:dyDescent="0.2">
      <c r="B59" s="45" t="s">
        <v>69</v>
      </c>
      <c r="C59" s="45" t="s">
        <v>64</v>
      </c>
      <c r="D59" s="52"/>
    </row>
    <row r="60" spans="2:4" s="22" customFormat="1" ht="16.5" customHeight="1" x14ac:dyDescent="0.35">
      <c r="B60" s="50">
        <f>'PM10'!B60</f>
        <v>48713.799999999996</v>
      </c>
      <c r="C60" s="54">
        <f>B60*0.1395/1000</f>
        <v>6.7955750999999998</v>
      </c>
      <c r="D60" s="52">
        <f>C60</f>
        <v>6.7955750999999998</v>
      </c>
    </row>
    <row r="61" spans="2:4" s="22" customFormat="1" ht="16.5" customHeight="1" x14ac:dyDescent="0.5">
      <c r="B61" s="89" t="s">
        <v>106</v>
      </c>
      <c r="C61" s="89"/>
      <c r="D61" s="55">
        <f>SUM(D10:D60)</f>
        <v>131.35894271999999</v>
      </c>
    </row>
    <row r="62" spans="2:4" s="22" customFormat="1" ht="16.5" customHeight="1" x14ac:dyDescent="0.5">
      <c r="B62" s="89" t="s">
        <v>92</v>
      </c>
      <c r="C62" s="89"/>
      <c r="D62" s="56" t="str">
        <f>IF(D61&gt;C5,"Tak","Nie")</f>
        <v>Tak</v>
      </c>
    </row>
    <row r="63" spans="2:4" s="22" customFormat="1" ht="16.5" customHeight="1" x14ac:dyDescent="0.5">
      <c r="B63" s="89" t="s">
        <v>92</v>
      </c>
      <c r="C63" s="89"/>
      <c r="D63" s="56" t="str">
        <f>IF(D62&gt;C6,"Tak","Nie")</f>
        <v>Tak</v>
      </c>
    </row>
    <row r="74" spans="5:5" x14ac:dyDescent="0.25">
      <c r="E74" s="19" t="s">
        <v>93</v>
      </c>
    </row>
  </sheetData>
  <mergeCells count="27">
    <mergeCell ref="B62:C62"/>
    <mergeCell ref="B63:C63"/>
    <mergeCell ref="B47:C47"/>
    <mergeCell ref="B52:C52"/>
    <mergeCell ref="B57:C57"/>
    <mergeCell ref="B17:C17"/>
    <mergeCell ref="B22:C22"/>
    <mergeCell ref="B27:C27"/>
    <mergeCell ref="B32:C32"/>
    <mergeCell ref="B37:C37"/>
    <mergeCell ref="B21:C21"/>
    <mergeCell ref="B26:C26"/>
    <mergeCell ref="B31:C31"/>
    <mergeCell ref="B36:C36"/>
    <mergeCell ref="B1:C1"/>
    <mergeCell ref="B2:B5"/>
    <mergeCell ref="B6:C6"/>
    <mergeCell ref="B11:C11"/>
    <mergeCell ref="B16:C16"/>
    <mergeCell ref="B7:C7"/>
    <mergeCell ref="B12:C12"/>
    <mergeCell ref="B41:C41"/>
    <mergeCell ref="B46:C46"/>
    <mergeCell ref="B51:C51"/>
    <mergeCell ref="B56:C56"/>
    <mergeCell ref="B61:C61"/>
    <mergeCell ref="B42:C42"/>
  </mergeCells>
  <dataValidations count="1">
    <dataValidation type="list" showInputMessage="1" showErrorMessage="1" promptTitle="miasto" sqref="C3">
      <formula1>gmina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Założenia do obliczeń</vt:lpstr>
      <vt:lpstr>Wskaźniki emisji</vt:lpstr>
      <vt:lpstr>Efekt rzeczowy</vt:lpstr>
      <vt:lpstr>Efekt ekologiczny </vt:lpstr>
      <vt:lpstr>Efekt energetyczny</vt:lpstr>
      <vt:lpstr>Harmonogram rzeczowo-finansowy</vt:lpstr>
      <vt:lpstr>PM10</vt:lpstr>
      <vt:lpstr>PM2,5</vt:lpstr>
      <vt:lpstr>'Efekt ekologiczny '!Obszar_wydruku</vt:lpstr>
      <vt:lpstr>'Efekt energetyczny'!Obszar_wydruku</vt:lpstr>
      <vt:lpstr>'Efekt rzeczowy'!Obszar_wydruku</vt:lpstr>
      <vt:lpstr>'PM10'!Obszar_wydruku</vt:lpstr>
      <vt:lpstr>'PM2,5'!Obszar_wydruku</vt:lpstr>
      <vt:lpstr>'Wskaźniki emisji'!Obszar_wydruku</vt:lpstr>
      <vt:lpstr>'Założenia do obliczeń'!Obszar_wydruku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Kopańska</dc:creator>
  <cp:lastModifiedBy>Monika Rogowiecka</cp:lastModifiedBy>
  <cp:lastPrinted>2018-09-06T12:50:22Z</cp:lastPrinted>
  <dcterms:created xsi:type="dcterms:W3CDTF">2018-09-06T07:36:52Z</dcterms:created>
  <dcterms:modified xsi:type="dcterms:W3CDTF">2018-12-05T10:06:28Z</dcterms:modified>
</cp:coreProperties>
</file>